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fedorenko\Desktop\МП БГС 17-24\22. МП БГС 17-24 в ред. сентября\Постановление сентябрь 2020\"/>
    </mc:Choice>
  </mc:AlternateContent>
  <xr:revisionPtr revIDLastSave="0" documentId="13_ncr:1_{BC35C96F-ED65-4D87-82AC-6514433CBE2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3" sheetId="3" r:id="rId1"/>
  </sheets>
  <definedNames>
    <definedName name="_xlnm.Print_Titles" localSheetId="0">Лист3!$17:$17</definedName>
    <definedName name="_xlnm.Print_Area" localSheetId="0">Лист3!$A$1:$O$101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3" l="1"/>
  <c r="I34" i="3" l="1"/>
  <c r="I42" i="3"/>
  <c r="I47" i="3" l="1"/>
  <c r="I91" i="3"/>
  <c r="J42" i="3" l="1"/>
  <c r="I38" i="3"/>
  <c r="E35" i="3"/>
  <c r="M36" i="3"/>
  <c r="L36" i="3"/>
  <c r="K36" i="3"/>
  <c r="J36" i="3"/>
  <c r="I36" i="3"/>
  <c r="H36" i="3"/>
  <c r="G36" i="3"/>
  <c r="F36" i="3"/>
  <c r="I78" i="3" l="1"/>
  <c r="I40" i="3"/>
  <c r="K22" i="3" l="1"/>
  <c r="J96" i="3" l="1"/>
  <c r="K96" i="3"/>
  <c r="L96" i="3"/>
  <c r="M96" i="3"/>
  <c r="K38" i="3"/>
  <c r="L38" i="3"/>
  <c r="M38" i="3"/>
  <c r="J38" i="3"/>
  <c r="E23" i="3"/>
  <c r="J22" i="3"/>
  <c r="I46" i="3" l="1"/>
  <c r="I24" i="3" l="1"/>
  <c r="I43" i="3" l="1"/>
  <c r="E20" i="3" l="1"/>
  <c r="I100" i="3" l="1"/>
  <c r="J54" i="3"/>
  <c r="I54" i="3"/>
  <c r="I87" i="3" l="1"/>
  <c r="I82" i="3"/>
  <c r="I68" i="3"/>
  <c r="E63" i="3" l="1"/>
  <c r="E71" i="3"/>
  <c r="K78" i="3" l="1"/>
  <c r="J78" i="3"/>
  <c r="H34" i="3" l="1"/>
  <c r="I60" i="3" l="1"/>
  <c r="H43" i="3" l="1"/>
  <c r="H24" i="3" l="1"/>
  <c r="H22" i="3"/>
  <c r="H42" i="3"/>
  <c r="H40" i="3" l="1"/>
  <c r="H49" i="3" l="1"/>
  <c r="E48" i="3" l="1"/>
  <c r="M49" i="3"/>
  <c r="M52" i="3" s="1"/>
  <c r="L49" i="3"/>
  <c r="L52" i="3" s="1"/>
  <c r="K49" i="3"/>
  <c r="J49" i="3"/>
  <c r="I49" i="3"/>
  <c r="F49" i="3"/>
  <c r="H21" i="3"/>
  <c r="E21" i="3" s="1"/>
  <c r="H54" i="3"/>
  <c r="E92" i="3" l="1"/>
  <c r="E90" i="3"/>
  <c r="M93" i="3" l="1"/>
  <c r="M94" i="3" s="1"/>
  <c r="L93" i="3"/>
  <c r="L94" i="3" s="1"/>
  <c r="M84" i="3" l="1"/>
  <c r="M85" i="3" s="1"/>
  <c r="L84" i="3"/>
  <c r="L85" i="3" s="1"/>
  <c r="E78" i="3"/>
  <c r="M79" i="3"/>
  <c r="M80" i="3" s="1"/>
  <c r="L79" i="3"/>
  <c r="L80" i="3" s="1"/>
  <c r="M72" i="3"/>
  <c r="M73" i="3" s="1"/>
  <c r="L72" i="3"/>
  <c r="L73" i="3" s="1"/>
  <c r="M65" i="3"/>
  <c r="M66" i="3" s="1"/>
  <c r="L65" i="3"/>
  <c r="L66" i="3" s="1"/>
  <c r="E56" i="3"/>
  <c r="M57" i="3"/>
  <c r="M58" i="3" s="1"/>
  <c r="L57" i="3"/>
  <c r="L58" i="3" s="1"/>
  <c r="E45" i="3"/>
  <c r="M37" i="3" l="1"/>
  <c r="M97" i="3"/>
  <c r="M98" i="3" s="1"/>
  <c r="L37" i="3"/>
  <c r="L97" i="3"/>
  <c r="L98" i="3" s="1"/>
  <c r="E34" i="3"/>
  <c r="H87" i="3" l="1"/>
  <c r="E87" i="3" s="1"/>
  <c r="G44" i="3" l="1"/>
  <c r="I37" i="3" l="1"/>
  <c r="J37" i="3"/>
  <c r="K79" i="3" l="1"/>
  <c r="J79" i="3"/>
  <c r="I79" i="3"/>
  <c r="H79" i="3"/>
  <c r="H65" i="3" l="1"/>
  <c r="E64" i="3"/>
  <c r="F65" i="3"/>
  <c r="J65" i="3"/>
  <c r="I65" i="3"/>
  <c r="H37" i="3"/>
  <c r="G91" i="3"/>
  <c r="E91" i="3" s="1"/>
  <c r="E54" i="3" l="1"/>
  <c r="H68" i="3"/>
  <c r="G40" i="3" l="1"/>
  <c r="E40" i="3" l="1"/>
  <c r="G60" i="3"/>
  <c r="G26" i="3"/>
  <c r="G24" i="3"/>
  <c r="G65" i="3" l="1"/>
  <c r="G22" i="3"/>
  <c r="E22" i="3" s="1"/>
  <c r="E36" i="3" s="1"/>
  <c r="E82" i="3" l="1"/>
  <c r="K62" i="3"/>
  <c r="E62" i="3" s="1"/>
  <c r="E60" i="3"/>
  <c r="E24" i="3"/>
  <c r="K70" i="3"/>
  <c r="G68" i="3"/>
  <c r="E68" i="3" l="1"/>
  <c r="K37" i="3"/>
  <c r="K65" i="3"/>
  <c r="G77" i="3" l="1"/>
  <c r="G41" i="3" l="1"/>
  <c r="E41" i="3" l="1"/>
  <c r="G83" i="3"/>
  <c r="E83" i="3" s="1"/>
  <c r="G70" i="3" l="1"/>
  <c r="E70" i="3" s="1"/>
  <c r="E42" i="3" l="1"/>
  <c r="F93" i="3"/>
  <c r="J93" i="3"/>
  <c r="I93" i="3"/>
  <c r="H93" i="3"/>
  <c r="K93" i="3"/>
  <c r="G93" i="3"/>
  <c r="G75" i="3" l="1"/>
  <c r="G79" i="3" s="1"/>
  <c r="G38" i="3" l="1"/>
  <c r="E33" i="3"/>
  <c r="E32" i="3"/>
  <c r="G96" i="3" l="1"/>
  <c r="H96" i="3"/>
  <c r="I96" i="3"/>
  <c r="F96" i="3"/>
  <c r="G95" i="3"/>
  <c r="H95" i="3"/>
  <c r="I95" i="3"/>
  <c r="J95" i="3"/>
  <c r="J94" i="3" s="1"/>
  <c r="K95" i="3"/>
  <c r="F95" i="3"/>
  <c r="F99" i="3" s="1"/>
  <c r="K99" i="3"/>
  <c r="J99" i="3"/>
  <c r="G99" i="3"/>
  <c r="E89" i="3"/>
  <c r="E88" i="3"/>
  <c r="I51" i="3"/>
  <c r="J51" i="3"/>
  <c r="K51" i="3"/>
  <c r="H51" i="3"/>
  <c r="K50" i="3"/>
  <c r="J50" i="3"/>
  <c r="I50" i="3"/>
  <c r="I52" i="3" s="1"/>
  <c r="H50" i="3"/>
  <c r="G50" i="3"/>
  <c r="G100" i="3" s="1"/>
  <c r="F37" i="3"/>
  <c r="H38" i="3"/>
  <c r="F38" i="3"/>
  <c r="E25" i="3"/>
  <c r="E31" i="3"/>
  <c r="E30" i="3"/>
  <c r="E38" i="3" l="1"/>
  <c r="I99" i="3"/>
  <c r="I94" i="3"/>
  <c r="K52" i="3"/>
  <c r="J52" i="3"/>
  <c r="H99" i="3"/>
  <c r="E99" i="3" s="1"/>
  <c r="H94" i="3"/>
  <c r="E50" i="3"/>
  <c r="G94" i="3"/>
  <c r="E96" i="3"/>
  <c r="E95" i="3"/>
  <c r="H101" i="3"/>
  <c r="J101" i="3"/>
  <c r="F101" i="3"/>
  <c r="K101" i="3"/>
  <c r="I101" i="3"/>
  <c r="K94" i="3"/>
  <c r="K57" i="3"/>
  <c r="K58" i="3" s="1"/>
  <c r="E69" i="3"/>
  <c r="E61" i="3"/>
  <c r="E55" i="3"/>
  <c r="E47" i="3"/>
  <c r="E44" i="3"/>
  <c r="E43" i="3"/>
  <c r="J84" i="3"/>
  <c r="J85" i="3" s="1"/>
  <c r="J80" i="3"/>
  <c r="J72" i="3"/>
  <c r="J73" i="3" s="1"/>
  <c r="J66" i="3"/>
  <c r="J57" i="3"/>
  <c r="J58" i="3" s="1"/>
  <c r="E72" i="3" l="1"/>
  <c r="J97" i="3"/>
  <c r="J98" i="3" s="1"/>
  <c r="K66" i="3"/>
  <c r="K72" i="3"/>
  <c r="K73" i="3" s="1"/>
  <c r="K84" i="3"/>
  <c r="K85" i="3" s="1"/>
  <c r="K80" i="3"/>
  <c r="G19" i="3"/>
  <c r="E19" i="3" l="1"/>
  <c r="G37" i="3"/>
  <c r="E37" i="3" s="1"/>
  <c r="K97" i="3"/>
  <c r="K98" i="3" s="1"/>
  <c r="F100" i="3"/>
  <c r="E100" i="3" s="1"/>
  <c r="F94" i="3"/>
  <c r="I84" i="3"/>
  <c r="I85" i="3" s="1"/>
  <c r="H84" i="3"/>
  <c r="H85" i="3" s="1"/>
  <c r="G84" i="3"/>
  <c r="G85" i="3" s="1"/>
  <c r="F84" i="3"/>
  <c r="F85" i="3" s="1"/>
  <c r="E84" i="3"/>
  <c r="I80" i="3"/>
  <c r="H80" i="3"/>
  <c r="F77" i="3"/>
  <c r="E77" i="3" s="1"/>
  <c r="F76" i="3"/>
  <c r="I72" i="3"/>
  <c r="I73" i="3" s="1"/>
  <c r="H72" i="3"/>
  <c r="H73" i="3" s="1"/>
  <c r="G72" i="3"/>
  <c r="G73" i="3" s="1"/>
  <c r="F72" i="3"/>
  <c r="F73" i="3" s="1"/>
  <c r="I66" i="3"/>
  <c r="H66" i="3"/>
  <c r="F66" i="3"/>
  <c r="I57" i="3"/>
  <c r="I58" i="3" s="1"/>
  <c r="H57" i="3"/>
  <c r="H58" i="3" s="1"/>
  <c r="G57" i="3"/>
  <c r="G58" i="3" s="1"/>
  <c r="F57" i="3"/>
  <c r="F58" i="3" s="1"/>
  <c r="G51" i="3"/>
  <c r="E51" i="3" s="1"/>
  <c r="H52" i="3"/>
  <c r="F52" i="3"/>
  <c r="G46" i="3"/>
  <c r="E29" i="3"/>
  <c r="E28" i="3"/>
  <c r="E27" i="3"/>
  <c r="E26" i="3"/>
  <c r="E73" i="3" l="1"/>
  <c r="E46" i="3"/>
  <c r="E49" i="3" s="1"/>
  <c r="E52" i="3" s="1"/>
  <c r="G49" i="3"/>
  <c r="E85" i="3"/>
  <c r="E58" i="3"/>
  <c r="E76" i="3"/>
  <c r="F79" i="3"/>
  <c r="E93" i="3"/>
  <c r="E94" i="3" s="1"/>
  <c r="G101" i="3"/>
  <c r="E101" i="3" s="1"/>
  <c r="G66" i="3"/>
  <c r="E66" i="3" s="1"/>
  <c r="G80" i="3"/>
  <c r="E75" i="3"/>
  <c r="G52" i="3"/>
  <c r="E57" i="3"/>
  <c r="H97" i="3"/>
  <c r="H98" i="3" s="1"/>
  <c r="I97" i="3"/>
  <c r="I98" i="3" s="1"/>
  <c r="E65" i="3" l="1"/>
  <c r="E79" i="3"/>
  <c r="G97" i="3"/>
  <c r="G98" i="3" s="1"/>
  <c r="F80" i="3"/>
  <c r="E80" i="3" s="1"/>
  <c r="F97" i="3"/>
  <c r="F98" i="3" s="1"/>
  <c r="E97" i="3" l="1"/>
  <c r="E98" i="3" l="1"/>
</calcChain>
</file>

<file path=xl/sharedStrings.xml><?xml version="1.0" encoding="utf-8"?>
<sst xmlns="http://schemas.openxmlformats.org/spreadsheetml/2006/main" count="311" uniqueCount="164">
  <si>
    <t>№ п/п</t>
  </si>
  <si>
    <t>Наименование мероприятия</t>
  </si>
  <si>
    <t>Объем финансирования по годам (тыс.руб.)</t>
  </si>
  <si>
    <t>Ответственный за выполнение мероприятия</t>
  </si>
  <si>
    <t>Ожидаемый результат</t>
  </si>
  <si>
    <t>ПЕРЕЧЕНЬ</t>
  </si>
  <si>
    <t>1.1.</t>
  </si>
  <si>
    <t>1.2.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</si>
  <si>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</si>
  <si>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</si>
  <si>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</si>
  <si>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</si>
  <si>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</si>
  <si>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</si>
  <si>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</si>
  <si>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</si>
  <si>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</si>
  <si>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6.1.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</si>
  <si>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</si>
  <si>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</si>
  <si>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</si>
  <si>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</si>
  <si>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</si>
  <si>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</si>
  <si>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</si>
  <si>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2.2.</t>
  </si>
  <si>
    <t>2.3.</t>
  </si>
  <si>
    <t>2.4.</t>
  </si>
  <si>
    <t>2.5.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</si>
  <si>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</si>
  <si>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</si>
  <si>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</si>
  <si>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</si>
  <si>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</si>
  <si>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</si>
  <si>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</si>
  <si>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</si>
  <si>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</si>
  <si>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</si>
  <si>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Бесперебойное освещение города в вечернее и ночное время суток с коэффициентом горения светильников не менее, чем 99%, обеспечение безопасного движения транспортных средств и пешеходов в вечернее и ночное время суток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</si>
  <si>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</si>
  <si>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</si>
  <si>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</si>
  <si>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Итого по разделу 7: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</si>
  <si>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</si>
  <si>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</si>
  <si>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</si>
  <si>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</si>
  <si>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 xml:space="preserve">                             </t>
  </si>
  <si>
    <t xml:space="preserve">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</si>
  <si>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</si>
  <si>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</si>
  <si>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разделу 1, в т.ч.:</t>
  </si>
  <si>
    <t>Итого по разделу 2, в т. ч.:</t>
  </si>
  <si>
    <t>Итого по разделу 3, в т. ч.:</t>
  </si>
  <si>
    <t>Итого по разделу 4, в т.ч.:</t>
  </si>
  <si>
    <t>Итого по разделу 5, в т.ч.:</t>
  </si>
  <si>
    <t>Итого по разделу 6, в т.ч.: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</si>
  <si>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</si>
  <si>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</si>
  <si>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</si>
  <si>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</si>
  <si>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</si>
  <si>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</si>
  <si>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</si>
  <si>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 xml:space="preserve">"Благоустроенный город Сертолово" 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</si>
  <si>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</si>
  <si>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</si>
  <si>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</si>
  <si>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</si>
  <si>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</si>
  <si>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</si>
  <si>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1.3.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</si>
  <si>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</si>
  <si>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</si>
  <si>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1.4.</t>
  </si>
  <si>
    <t>2017 г.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</si>
  <si>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</si>
  <si>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</si>
  <si>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</si>
  <si>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 xml:space="preserve"> МЕРОПРИЯТИЙ ПО РЕАЛИЗАЦИИ МУНИЦИПАЛЬНОЙ ПРОГРАММЫ МО СЕРТОЛОВО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</si>
  <si>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</si>
  <si>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</si>
  <si>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</si>
  <si>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</si>
  <si>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</si>
  <si>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</si>
  <si>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2.6.</t>
  </si>
  <si>
    <t>Проектирование участков улично-дорожной сети</t>
  </si>
  <si>
    <t>1.5.</t>
  </si>
  <si>
    <t>1.6.</t>
  </si>
  <si>
    <t>Бюджет ЛО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</si>
  <si>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</si>
  <si>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</si>
  <si>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</si>
  <si>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5.4.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</si>
  <si>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</si>
  <si>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</si>
  <si>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>1.7.</t>
  </si>
  <si>
    <t>1.8.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</si>
  <si>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</si>
  <si>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</si>
  <si>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</si>
  <si>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2017-2018 гг.</t>
  </si>
  <si>
    <t>2018 г.</t>
  </si>
  <si>
    <t>Обеспечение безопасности и здоровья граждан, улучшение внешнего облика города</t>
  </si>
  <si>
    <r>
      <t xml:space="preserve">                              от </t>
    </r>
    <r>
      <rPr>
        <u/>
        <sz val="10"/>
        <color indexed="10"/>
        <rFont val="Arial"/>
        <family val="1"/>
        <charset val="204"/>
      </rPr>
      <t xml:space="preserve">                              </t>
    </r>
    <r>
      <rPr>
        <sz val="10"/>
        <color indexed="10"/>
        <rFont val="Arial"/>
        <family val="1"/>
        <charset val="204"/>
      </rPr>
      <t xml:space="preserve">№ </t>
    </r>
    <r>
      <rPr>
        <u/>
        <sz val="10"/>
        <color indexed="10"/>
        <rFont val="Arial"/>
        <family val="1"/>
        <charset val="204"/>
      </rPr>
      <t xml:space="preserve">   </t>
    </r>
  </si>
  <si>
    <r>
      <t xml:space="preserve">Раздел 1. </t>
    </r>
    <r>
      <rPr>
        <sz val="10"/>
        <rFont val="Times New Roman"/>
        <family val="1"/>
        <charset val="204"/>
      </rPr>
      <t xml:space="preserve">  Благоустройство территории города Сертолово </t>
    </r>
  </si>
  <si>
    <r>
      <t xml:space="preserve">Раздел 2. </t>
    </r>
    <r>
      <rPr>
        <sz val="10"/>
        <rFont val="Times New Roman"/>
        <family val="1"/>
        <charset val="204"/>
      </rPr>
      <t xml:space="preserve"> Устройство, ремонт и содержание элементов улично-дорожной сети и технических средств организации дорожного движения на территории города Сертолово     </t>
    </r>
  </si>
  <si>
    <r>
      <t xml:space="preserve">Раздел 3. </t>
    </r>
    <r>
      <rPr>
        <sz val="10"/>
        <rFont val="Times New Roman"/>
        <family val="1"/>
        <charset val="204"/>
      </rPr>
      <t xml:space="preserve"> Организация санитарного содержания улично-дорожной сети на территории города Сертолово</t>
    </r>
  </si>
  <si>
    <r>
      <t xml:space="preserve">Раздел 4. </t>
    </r>
    <r>
      <rPr>
        <sz val="10"/>
        <rFont val="Times New Roman"/>
        <family val="1"/>
        <charset val="204"/>
      </rPr>
      <t xml:space="preserve"> Организация озеленения территории города Сертолово</t>
    </r>
  </si>
  <si>
    <r>
      <t xml:space="preserve"> Раздел 5. </t>
    </r>
    <r>
      <rPr>
        <sz val="10"/>
        <rFont val="Times New Roman"/>
        <family val="1"/>
        <charset val="204"/>
      </rPr>
      <t xml:space="preserve"> Организация санитарного содержания города Сертолово</t>
    </r>
  </si>
  <si>
    <r>
      <t xml:space="preserve"> Раздел 6. </t>
    </r>
    <r>
      <rPr>
        <sz val="10"/>
        <rFont val="Times New Roman"/>
        <family val="1"/>
        <charset val="204"/>
      </rPr>
      <t xml:space="preserve"> Создание условий для массового отдыха жителей города Сертолово</t>
    </r>
  </si>
  <si>
    <r>
      <t xml:space="preserve">     </t>
    </r>
    <r>
      <rPr>
        <b/>
        <sz val="10"/>
        <rFont val="Times New Roman"/>
        <family val="1"/>
        <charset val="204"/>
      </rPr>
      <t xml:space="preserve">   Раздел 7. </t>
    </r>
    <r>
      <rPr>
        <sz val="10"/>
        <rFont val="Times New Roman"/>
        <family val="1"/>
        <charset val="204"/>
      </rPr>
      <t>Организация уличного освещения  города Сертолово</t>
    </r>
  </si>
  <si>
    <r>
      <t xml:space="preserve">Раздел 8. </t>
    </r>
    <r>
      <rPr>
        <sz val="10"/>
        <rFont val="Times New Roman"/>
        <family val="1"/>
        <charset val="204"/>
      </rPr>
      <t>Формирование комфортной городской среды</t>
    </r>
  </si>
  <si>
    <t>8.1.</t>
  </si>
  <si>
    <t>Благоустройство общественных территорий города</t>
  </si>
  <si>
    <t>8.3.</t>
  </si>
  <si>
    <t>Разработка дизайн-проектов благоустройства общественных и дворовых территорий города</t>
  </si>
  <si>
    <t>Итого по разделу 8, в т.ч.</t>
  </si>
  <si>
    <t>Обеспечение условий для комфортного культурного отдыха и времяпрепровождения жителей города</t>
  </si>
  <si>
    <t>8.2.</t>
  </si>
  <si>
    <t>Благоустройство дворовых территорий города</t>
  </si>
  <si>
    <t>1.9.</t>
  </si>
  <si>
    <t>МУ "Оказание услуг "Развитие"</t>
  </si>
  <si>
    <t>Бюджет РФ</t>
  </si>
  <si>
    <t>1.10.</t>
  </si>
  <si>
    <t>Устройство цветочной клумбы в районе д. 6 мкр. Черная Речка в г. Сертолово</t>
  </si>
  <si>
    <t>"Формирование и обустройство объекта внешнего благоустройства в районе д. 4, 7 мкр. Черная Речка в г. Сертолово</t>
  </si>
  <si>
    <t>8.4.</t>
  </si>
  <si>
    <t>Разработка паспортов благоустройства общественных и дворовых территорий города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</si>
  <si>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</si>
  <si>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</si>
  <si>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</si>
  <si>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</si>
  <si>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</si>
  <si>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</si>
  <si>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1.11</t>
  </si>
  <si>
    <t>2019 г.</t>
  </si>
  <si>
    <t>4.5</t>
  </si>
  <si>
    <t>Посадка деревьев на территории города Сертолово</t>
  </si>
  <si>
    <t>6.4</t>
  </si>
  <si>
    <t>Подготовка и оформление территории города на период проведения праздничных мероприятий</t>
  </si>
  <si>
    <t>2017-2019 гг.</t>
  </si>
  <si>
    <t>2017-2021 гг.</t>
  </si>
  <si>
    <t>Обустройство и содержание общественных территорий и пешеходных зон города Сертолово</t>
  </si>
  <si>
    <t>2017-2024 гг.</t>
  </si>
  <si>
    <t>2019 - 2024 гг.</t>
  </si>
  <si>
    <t>2019-2024 гг.</t>
  </si>
  <si>
    <t>2.7.</t>
  </si>
  <si>
    <t>2019-2020 гг.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</si>
  <si>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</si>
  <si>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2017-2019, 2021-2022 гг.</t>
  </si>
  <si>
    <t>2017-2022 гг.</t>
  </si>
  <si>
    <t>2018-2019 г.</t>
  </si>
  <si>
    <t>2018-2020 гг.</t>
  </si>
  <si>
    <t>2018-2022 гг.</t>
  </si>
  <si>
    <t>2018-2020,
2023-2024 гг.</t>
  </si>
  <si>
    <t>2023-2024 гг.</t>
  </si>
  <si>
    <t>2021-2024 гг.</t>
  </si>
  <si>
    <t>2020 г.</t>
  </si>
  <si>
    <t>2018-2021,
2023-2024 гг.</t>
  </si>
  <si>
    <t>2018-2021 гг.</t>
  </si>
  <si>
    <t>ПРИЛОЖЕНИЕ №1
к постановлению администрации
МО Сертолово
от "30" сентября 2020 г. №863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</si>
</sst>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</font>
    <font>
      <u/>
      <sz val="10"/>
      <color indexed="10"/>
      <name val="Arial"/>
      <family val="1"/>
      <charset val="204"/>
    </font>
    <font>
      <sz val="10"/>
      <color indexed="10"/>
      <name val="Arial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Times New Roman"/>
      <family val="1"/>
      <charset val="204"/>
      <scheme val="minor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sz val="9"/>
      <name val="Times New Roman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3" fillId="0" borderId="0" xfId="0" applyFont="1"/>
    <xf numFmtId="0" fontId="3" fillId="0" borderId="0" xfId="0" applyFont="1"/>
    <xf numFmtId="0" fontId="4" fillId="0" borderId="0" xfId="0" applyFont="1"/>
    <xf numFmtId="0" fontId="1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/>
    <xf numFmtId="0" fontId="10" fillId="0" borderId="0" xfId="0" applyFont="1"/>
    <xf numFmtId="0" fontId="17" fillId="0" borderId="0" xfId="0" applyFont="1" applyFill="1"/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/>
    </xf>
    <xf numFmtId="16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164" fontId="18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164" fontId="15" fillId="0" borderId="2" xfId="0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16" fontId="15" fillId="0" borderId="7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4" fontId="15" fillId="0" borderId="2" xfId="0" applyNumberFormat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164" fontId="18" fillId="0" borderId="9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16" fontId="15" fillId="0" borderId="7" xfId="0" quotePrefix="1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8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top" wrapText="1"/>
    </xf>
    <xf numFmtId="0" fontId="15" fillId="0" borderId="7" xfId="0" quotePrefix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4" fillId="0" borderId="0" xfId="0" applyFont="1" applyFill="1"/>
    <xf numFmtId="0" fontId="15" fillId="0" borderId="2" xfId="0" applyFont="1" applyFill="1" applyBorder="1"/>
    <xf numFmtId="164" fontId="18" fillId="0" borderId="10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0" fontId="15" fillId="0" borderId="1" xfId="0" applyFont="1" applyFill="1" applyBorder="1"/>
    <xf numFmtId="0" fontId="18" fillId="0" borderId="1" xfId="0" applyFont="1" applyFill="1" applyBorder="1" applyAlignment="1">
      <alignment horizontal="left" vertical="center"/>
    </xf>
    <xf numFmtId="0" fontId="15" fillId="0" borderId="5" xfId="0" applyFont="1" applyFill="1" applyBorder="1"/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/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left" vertical="center" wrapText="1"/>
    </xf>
    <xf numFmtId="164" fontId="18" fillId="0" borderId="2" xfId="0" applyNumberFormat="1" applyFont="1" applyFill="1" applyBorder="1" applyAlignment="1">
      <alignment horizontal="left" vertical="center" wrapText="1"/>
    </xf>
    <xf numFmtId="164" fontId="18" fillId="0" borderId="1" xfId="0" applyNumberFormat="1" applyFont="1" applyFill="1" applyBorder="1"/>
    <xf numFmtId="164" fontId="18" fillId="0" borderId="1" xfId="0" applyNumberFormat="1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6" fontId="15" fillId="0" borderId="1" xfId="0" quotePrefix="1" applyNumberFormat="1" applyFont="1" applyFill="1" applyBorder="1" applyAlignment="1">
      <alignment horizontal="center" vertical="center" wrapText="1"/>
    </xf>
    <xf numFmtId="16" fontId="15" fillId="0" borderId="6" xfId="0" quotePrefix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16" fontId="15" fillId="0" borderId="1" xfId="0" applyNumberFormat="1" applyFont="1" applyFill="1" applyBorder="1" applyAlignment="1">
      <alignment horizontal="center" vertical="center" wrapText="1"/>
    </xf>
    <xf numFmtId="16" fontId="15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1"/>
  <sheetViews>
    <sheetView tabSelected="1" view="pageBreakPreview" topLeftCell="A5" zoomScaleNormal="100" zoomScaleSheetLayoutView="100" workbookViewId="0">
      <pane ySplit="13" topLeftCell="A96" activePane="bottomLeft" state="frozen"/>
      <selection activeCell="A5" sqref="A5"/>
      <selection pane="bottomLeft" activeCell="M9" sqref="M9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2" customWidth="1"/>
    <col min="11" max="11" width="8.28515625" style="12" customWidth="1"/>
    <col min="12" max="12" width="9" style="12" customWidth="1"/>
    <col min="13" max="13" width="8.85546875" style="12" customWidth="1"/>
    <col min="14" max="14" width="13.42578125" style="3" customWidth="1"/>
    <col min="15" max="15" width="26.7109375" style="3" customWidth="1"/>
    <col min="16" max="16" width="9.140625" style="3"/>
    <col min="17" max="17" width="9.42578125" style="3" bestFit="1" customWidth="1"/>
    <col min="18" max="16384" width="9.140625" style="3"/>
  </cols>
  <sheetData>
    <row r="1" spans="1:16" ht="15.75" hidden="1" x14ac:dyDescent="0.25">
      <c r="A1" s="1"/>
      <c r="B1" s="1"/>
      <c r="C1" s="1"/>
      <c r="D1" s="1"/>
      <c r="E1" s="1"/>
      <c r="F1" s="1"/>
      <c r="G1" s="113" t="s">
        <v>64</v>
      </c>
      <c r="H1" s="113"/>
      <c r="I1" s="113"/>
      <c r="J1" s="113"/>
      <c r="K1" s="113"/>
      <c r="L1" s="113"/>
      <c r="M1" s="113"/>
      <c r="N1" s="113"/>
      <c r="O1" s="113"/>
      <c r="P1" s="2"/>
    </row>
    <row r="2" spans="1:16" ht="14.25" hidden="1" customHeight="1" x14ac:dyDescent="0.25">
      <c r="A2" s="1"/>
      <c r="B2" s="1"/>
      <c r="C2" s="1"/>
      <c r="D2" s="1"/>
      <c r="E2" s="1"/>
      <c r="F2" s="1"/>
      <c r="G2" s="113" t="s">
        <v>62</v>
      </c>
      <c r="H2" s="113"/>
      <c r="I2" s="113"/>
      <c r="J2" s="113"/>
      <c r="K2" s="113"/>
      <c r="L2" s="113"/>
      <c r="M2" s="113"/>
      <c r="N2" s="113"/>
      <c r="O2" s="113"/>
      <c r="P2" s="2"/>
    </row>
    <row r="3" spans="1:16" ht="14.25" hidden="1" customHeight="1" x14ac:dyDescent="0.25">
      <c r="A3" s="1"/>
      <c r="B3" s="1"/>
      <c r="C3" s="1"/>
      <c r="D3" s="1"/>
      <c r="E3" s="1"/>
      <c r="F3" s="1"/>
      <c r="G3" s="113" t="s">
        <v>63</v>
      </c>
      <c r="H3" s="113"/>
      <c r="I3" s="113"/>
      <c r="J3" s="113"/>
      <c r="K3" s="113"/>
      <c r="L3" s="113"/>
      <c r="M3" s="113"/>
      <c r="N3" s="113"/>
      <c r="O3" s="113"/>
      <c r="P3" s="2"/>
    </row>
    <row r="4" spans="1:16" ht="15" hidden="1" customHeight="1" x14ac:dyDescent="0.25">
      <c r="A4" s="1"/>
      <c r="B4" s="1"/>
      <c r="C4" s="1"/>
      <c r="D4" s="1"/>
      <c r="E4" s="1"/>
      <c r="F4" s="4"/>
      <c r="G4" s="113" t="s">
        <v>106</v>
      </c>
      <c r="H4" s="120"/>
      <c r="I4" s="120"/>
      <c r="J4" s="120"/>
      <c r="K4" s="120"/>
      <c r="L4" s="120"/>
      <c r="M4" s="120"/>
      <c r="N4" s="120"/>
      <c r="O4" s="120"/>
      <c r="P4" s="5"/>
    </row>
    <row r="5" spans="1:16" ht="15" customHeight="1" x14ac:dyDescent="0.25">
      <c r="A5" s="1"/>
      <c r="B5" s="1"/>
      <c r="C5" s="1"/>
      <c r="D5" s="1"/>
      <c r="E5" s="1"/>
      <c r="F5" s="4"/>
      <c r="G5" s="99"/>
      <c r="H5" s="100"/>
      <c r="I5" s="100"/>
      <c r="J5" s="100"/>
      <c r="K5" s="100"/>
      <c r="L5" s="100"/>
      <c r="M5" s="147" t="s">
        <v>163</v>
      </c>
      <c r="N5" s="148"/>
      <c r="O5" s="148"/>
      <c r="P5" s="5"/>
    </row>
    <row r="6" spans="1:16" ht="15" customHeight="1" x14ac:dyDescent="0.25">
      <c r="A6" s="1"/>
      <c r="B6" s="1"/>
      <c r="C6" s="1"/>
      <c r="D6" s="1"/>
      <c r="E6" s="1"/>
      <c r="F6" s="4"/>
      <c r="G6" s="99"/>
      <c r="H6" s="100"/>
      <c r="I6" s="100"/>
      <c r="J6" s="100"/>
      <c r="K6" s="100"/>
      <c r="L6" s="100"/>
      <c r="M6" s="148"/>
      <c r="N6" s="148"/>
      <c r="O6" s="148"/>
      <c r="P6" s="5"/>
    </row>
    <row r="7" spans="1:16" ht="15" customHeight="1" x14ac:dyDescent="0.25">
      <c r="A7" s="1"/>
      <c r="B7" s="1"/>
      <c r="C7" s="1"/>
      <c r="D7" s="1"/>
      <c r="E7" s="1"/>
      <c r="F7" s="4"/>
      <c r="G7" s="99"/>
      <c r="H7" s="100"/>
      <c r="I7" s="100"/>
      <c r="J7" s="100"/>
      <c r="K7" s="100"/>
      <c r="L7" s="100"/>
      <c r="M7" s="148"/>
      <c r="N7" s="148"/>
      <c r="O7" s="148"/>
      <c r="P7" s="5"/>
    </row>
    <row r="8" spans="1:16" ht="15" customHeight="1" x14ac:dyDescent="0.25">
      <c r="A8" s="1"/>
      <c r="B8" s="1"/>
      <c r="C8" s="1"/>
      <c r="D8" s="1"/>
      <c r="E8" s="1"/>
      <c r="F8" s="4"/>
      <c r="G8" s="99"/>
      <c r="H8" s="100"/>
      <c r="I8" s="100"/>
      <c r="J8" s="100"/>
      <c r="K8" s="100"/>
      <c r="L8" s="100"/>
      <c r="M8" s="148"/>
      <c r="N8" s="148"/>
      <c r="O8" s="148"/>
      <c r="P8" s="5"/>
    </row>
    <row r="9" spans="1:16" ht="15" customHeight="1" x14ac:dyDescent="0.25">
      <c r="A9" s="1"/>
      <c r="B9" s="1"/>
      <c r="C9" s="1"/>
      <c r="D9" s="1"/>
      <c r="E9" s="1"/>
      <c r="F9" s="4"/>
      <c r="G9" s="99"/>
      <c r="H9" s="100"/>
      <c r="I9" s="100"/>
      <c r="J9" s="100"/>
      <c r="K9" s="100"/>
      <c r="L9" s="100"/>
      <c r="M9" s="100"/>
      <c r="N9" s="100"/>
      <c r="O9" s="100"/>
      <c r="P9" s="5"/>
    </row>
    <row r="10" spans="1:16" ht="15" customHeight="1" x14ac:dyDescent="0.25">
      <c r="A10" s="6"/>
      <c r="B10" s="6"/>
      <c r="C10" s="6"/>
      <c r="D10" s="6"/>
      <c r="E10" s="6"/>
      <c r="F10" s="7"/>
      <c r="G10" s="8"/>
      <c r="H10" s="9"/>
      <c r="I10" s="9"/>
      <c r="J10" s="9"/>
      <c r="K10" s="9"/>
      <c r="L10" s="9"/>
      <c r="M10" s="9"/>
      <c r="N10" s="9"/>
      <c r="O10" s="9"/>
      <c r="P10" s="5"/>
    </row>
    <row r="11" spans="1:16" s="6" customFormat="1" ht="15.75" customHeight="1" x14ac:dyDescent="0.3">
      <c r="A11" s="121" t="s">
        <v>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</row>
    <row r="12" spans="1:16" s="6" customFormat="1" ht="16.5" customHeight="1" x14ac:dyDescent="0.3">
      <c r="A12" s="121" t="s">
        <v>80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1:16" ht="15" customHeight="1" x14ac:dyDescent="0.3">
      <c r="A13" s="121" t="s">
        <v>65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pans="1:16" ht="15.75" customHeight="1" x14ac:dyDescent="0.3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</row>
    <row r="15" spans="1:16" ht="14.25" customHeight="1" x14ac:dyDescent="0.2">
      <c r="A15" s="117" t="s">
        <v>0</v>
      </c>
      <c r="B15" s="123" t="s">
        <v>1</v>
      </c>
      <c r="C15" s="116" t="s">
        <v>21</v>
      </c>
      <c r="D15" s="122" t="s">
        <v>20</v>
      </c>
      <c r="E15" s="116" t="s">
        <v>23</v>
      </c>
      <c r="F15" s="122" t="s">
        <v>2</v>
      </c>
      <c r="G15" s="124"/>
      <c r="H15" s="124"/>
      <c r="I15" s="124"/>
      <c r="J15" s="124"/>
      <c r="K15" s="124"/>
      <c r="L15" s="124"/>
      <c r="M15" s="125"/>
      <c r="N15" s="122" t="s">
        <v>3</v>
      </c>
      <c r="O15" s="114" t="s">
        <v>4</v>
      </c>
      <c r="P15" s="14"/>
    </row>
    <row r="16" spans="1:16" ht="19.5" customHeight="1" x14ac:dyDescent="0.2">
      <c r="A16" s="117"/>
      <c r="B16" s="123"/>
      <c r="C16" s="116"/>
      <c r="D16" s="122"/>
      <c r="E16" s="116"/>
      <c r="F16" s="15">
        <v>2017</v>
      </c>
      <c r="G16" s="16">
        <v>2018</v>
      </c>
      <c r="H16" s="16">
        <v>2019</v>
      </c>
      <c r="I16" s="17">
        <v>2020</v>
      </c>
      <c r="J16" s="17">
        <v>2021</v>
      </c>
      <c r="K16" s="17">
        <v>2022</v>
      </c>
      <c r="L16" s="17">
        <v>2023</v>
      </c>
      <c r="M16" s="17">
        <v>2024</v>
      </c>
      <c r="N16" s="122"/>
      <c r="O16" s="115"/>
      <c r="P16" s="14"/>
    </row>
    <row r="17" spans="1:21" x14ac:dyDescent="0.2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  <c r="I17" s="18">
        <v>9</v>
      </c>
      <c r="J17" s="18">
        <v>10</v>
      </c>
      <c r="K17" s="18">
        <v>11</v>
      </c>
      <c r="L17" s="18">
        <v>12</v>
      </c>
      <c r="M17" s="18">
        <v>13</v>
      </c>
      <c r="N17" s="18">
        <v>14</v>
      </c>
      <c r="O17" s="18">
        <v>15</v>
      </c>
      <c r="P17" s="14"/>
    </row>
    <row r="18" spans="1:21" ht="16.5" customHeight="1" x14ac:dyDescent="0.2">
      <c r="A18" s="129" t="s">
        <v>107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1"/>
      <c r="P18" s="14"/>
    </row>
    <row r="19" spans="1:21" ht="30" customHeight="1" x14ac:dyDescent="0.2">
      <c r="A19" s="103" t="s">
        <v>6</v>
      </c>
      <c r="B19" s="105" t="s">
        <v>73</v>
      </c>
      <c r="C19" s="20" t="s">
        <v>24</v>
      </c>
      <c r="D19" s="21" t="s">
        <v>152</v>
      </c>
      <c r="E19" s="22">
        <f>F19+G19+H19+I19+K19+J19+L19+M19</f>
        <v>3069.2000000000003</v>
      </c>
      <c r="F19" s="23">
        <v>1154.2</v>
      </c>
      <c r="G19" s="24">
        <f>300-41.9</f>
        <v>258.10000000000002</v>
      </c>
      <c r="H19" s="24">
        <v>280</v>
      </c>
      <c r="I19" s="25">
        <v>70</v>
      </c>
      <c r="J19" s="25">
        <v>639.4</v>
      </c>
      <c r="K19" s="25">
        <v>667.5</v>
      </c>
      <c r="L19" s="25">
        <v>0</v>
      </c>
      <c r="M19" s="25">
        <v>0</v>
      </c>
      <c r="N19" s="103" t="s">
        <v>124</v>
      </c>
      <c r="O19" s="105" t="s">
        <v>74</v>
      </c>
      <c r="P19" s="14"/>
      <c r="Q19" s="101"/>
      <c r="R19" s="101"/>
      <c r="S19" s="101"/>
      <c r="T19" s="101"/>
    </row>
    <row r="20" spans="1:21" ht="18" customHeight="1" x14ac:dyDescent="0.2">
      <c r="A20" s="104"/>
      <c r="B20" s="106"/>
      <c r="C20" s="97" t="s">
        <v>91</v>
      </c>
      <c r="D20" s="21" t="s">
        <v>160</v>
      </c>
      <c r="E20" s="22">
        <f>SUM(F20:M20)</f>
        <v>630</v>
      </c>
      <c r="F20" s="23">
        <v>0</v>
      </c>
      <c r="G20" s="24">
        <v>0</v>
      </c>
      <c r="H20" s="24">
        <v>0</v>
      </c>
      <c r="I20" s="25">
        <v>630</v>
      </c>
      <c r="J20" s="25">
        <v>0</v>
      </c>
      <c r="K20" s="25">
        <v>0</v>
      </c>
      <c r="L20" s="25">
        <v>0</v>
      </c>
      <c r="M20" s="25">
        <v>0</v>
      </c>
      <c r="N20" s="104"/>
      <c r="O20" s="106"/>
      <c r="P20" s="14"/>
      <c r="Q20" s="96"/>
      <c r="R20" s="96"/>
      <c r="S20" s="96"/>
      <c r="T20" s="96"/>
    </row>
    <row r="21" spans="1:21" ht="38.25" customHeight="1" x14ac:dyDescent="0.2">
      <c r="A21" s="18" t="s">
        <v>7</v>
      </c>
      <c r="B21" s="46" t="s">
        <v>79</v>
      </c>
      <c r="C21" s="20" t="s">
        <v>24</v>
      </c>
      <c r="D21" s="21" t="s">
        <v>153</v>
      </c>
      <c r="E21" s="22">
        <f>F21+G21+H21+I21+K21+J21+L21+M21</f>
        <v>3772.7999999999997</v>
      </c>
      <c r="F21" s="23">
        <v>623.1</v>
      </c>
      <c r="G21" s="24">
        <v>415.9</v>
      </c>
      <c r="H21" s="24">
        <f>256+475+1037</f>
        <v>1768</v>
      </c>
      <c r="I21" s="25">
        <v>100</v>
      </c>
      <c r="J21" s="25">
        <v>425.7</v>
      </c>
      <c r="K21" s="25">
        <v>440.1</v>
      </c>
      <c r="L21" s="25">
        <v>0</v>
      </c>
      <c r="M21" s="25">
        <v>0</v>
      </c>
      <c r="N21" s="26" t="s">
        <v>124</v>
      </c>
      <c r="O21" s="27" t="s">
        <v>77</v>
      </c>
      <c r="P21" s="14"/>
      <c r="Q21" s="101"/>
      <c r="R21" s="101"/>
      <c r="S21" s="101"/>
      <c r="T21" s="101"/>
    </row>
    <row r="22" spans="1:21" ht="22.5" customHeight="1" x14ac:dyDescent="0.2">
      <c r="A22" s="103" t="s">
        <v>72</v>
      </c>
      <c r="B22" s="151" t="s">
        <v>81</v>
      </c>
      <c r="C22" s="18" t="s">
        <v>24</v>
      </c>
      <c r="D22" s="103" t="s">
        <v>146</v>
      </c>
      <c r="E22" s="22">
        <f>SUM(F22:M22)</f>
        <v>32135.300000000003</v>
      </c>
      <c r="F22" s="23">
        <v>4076.3</v>
      </c>
      <c r="G22" s="28">
        <f>2674.4</f>
        <v>2674.4</v>
      </c>
      <c r="H22" s="28">
        <f>2910.3+298+487.4-7.5</f>
        <v>3688.2000000000003</v>
      </c>
      <c r="I22" s="25">
        <f>2917+590</f>
        <v>3507</v>
      </c>
      <c r="J22" s="25">
        <f>4163.9+144.3</f>
        <v>4308.2</v>
      </c>
      <c r="K22" s="25">
        <f>4372.1+98.2</f>
        <v>4470.3</v>
      </c>
      <c r="L22" s="25">
        <v>4590.7</v>
      </c>
      <c r="M22" s="25">
        <v>4820.2</v>
      </c>
      <c r="N22" s="103" t="s">
        <v>124</v>
      </c>
      <c r="O22" s="105" t="s">
        <v>78</v>
      </c>
      <c r="P22" s="14"/>
      <c r="Q22" s="10"/>
      <c r="R22" s="10"/>
      <c r="S22" s="10"/>
      <c r="T22" s="10"/>
    </row>
    <row r="23" spans="1:21" ht="20.25" customHeight="1" x14ac:dyDescent="0.2">
      <c r="A23" s="104"/>
      <c r="B23" s="152"/>
      <c r="C23" s="18" t="s">
        <v>91</v>
      </c>
      <c r="D23" s="104"/>
      <c r="E23" s="22">
        <f>SUM(F23:M23)</f>
        <v>2451.9</v>
      </c>
      <c r="F23" s="23">
        <v>0</v>
      </c>
      <c r="G23" s="28">
        <v>0</v>
      </c>
      <c r="H23" s="28">
        <v>0</v>
      </c>
      <c r="I23" s="25">
        <v>0</v>
      </c>
      <c r="J23" s="25">
        <v>1459.2</v>
      </c>
      <c r="K23" s="25">
        <v>992.7</v>
      </c>
      <c r="L23" s="25">
        <v>0</v>
      </c>
      <c r="M23" s="25">
        <v>0</v>
      </c>
      <c r="N23" s="104"/>
      <c r="O23" s="106"/>
      <c r="P23" s="14"/>
      <c r="Q23" s="98"/>
      <c r="R23" s="98"/>
      <c r="S23" s="98"/>
      <c r="T23" s="98"/>
    </row>
    <row r="24" spans="1:21" ht="27" customHeight="1" x14ac:dyDescent="0.2">
      <c r="A24" s="103" t="s">
        <v>75</v>
      </c>
      <c r="B24" s="105" t="s">
        <v>135</v>
      </c>
      <c r="C24" s="20" t="s">
        <v>24</v>
      </c>
      <c r="D24" s="21" t="s">
        <v>146</v>
      </c>
      <c r="E24" s="22">
        <f>F24+G24+H24+I24+K24+J24+L24+M24</f>
        <v>19099.099999999999</v>
      </c>
      <c r="F24" s="23">
        <v>1716.8</v>
      </c>
      <c r="G24" s="24">
        <f>2264.5+312.6+41.9-60-57+150.4</f>
        <v>2652.4</v>
      </c>
      <c r="H24" s="24">
        <f>1339.3+654.8+343+3500-122.6-21-182.9</f>
        <v>5510.6</v>
      </c>
      <c r="I24" s="25">
        <f>1419.4+237.9+70+311.5-70-184.7</f>
        <v>1784.1000000000001</v>
      </c>
      <c r="J24" s="25">
        <v>2225</v>
      </c>
      <c r="K24" s="25">
        <v>2325.6</v>
      </c>
      <c r="L24" s="24">
        <v>1407.1</v>
      </c>
      <c r="M24" s="24">
        <v>1477.5</v>
      </c>
      <c r="N24" s="105" t="s">
        <v>124</v>
      </c>
      <c r="O24" s="105" t="s">
        <v>136</v>
      </c>
      <c r="P24" s="14"/>
      <c r="Q24" s="10"/>
      <c r="R24" s="10"/>
      <c r="S24" s="10"/>
      <c r="T24" s="10"/>
    </row>
    <row r="25" spans="1:21" ht="21.75" customHeight="1" x14ac:dyDescent="0.2">
      <c r="A25" s="104"/>
      <c r="B25" s="106"/>
      <c r="C25" s="18" t="s">
        <v>91</v>
      </c>
      <c r="D25" s="21" t="s">
        <v>154</v>
      </c>
      <c r="E25" s="22">
        <f t="shared" ref="E25:E31" si="0">SUM(F25:K25)</f>
        <v>5736.5</v>
      </c>
      <c r="F25" s="23">
        <v>0</v>
      </c>
      <c r="G25" s="24">
        <v>2650</v>
      </c>
      <c r="H25" s="24">
        <v>3086.5</v>
      </c>
      <c r="I25" s="25">
        <v>0</v>
      </c>
      <c r="J25" s="25">
        <v>0</v>
      </c>
      <c r="K25" s="25">
        <v>0</v>
      </c>
      <c r="L25" s="29">
        <v>0</v>
      </c>
      <c r="M25" s="29">
        <v>0</v>
      </c>
      <c r="N25" s="106"/>
      <c r="O25" s="106"/>
      <c r="P25" s="14"/>
      <c r="Q25" s="10"/>
      <c r="R25" s="10"/>
      <c r="S25" s="10"/>
      <c r="T25" s="10"/>
    </row>
    <row r="26" spans="1:21" ht="111.75" customHeight="1" x14ac:dyDescent="0.2">
      <c r="A26" s="30" t="s">
        <v>89</v>
      </c>
      <c r="B26" s="31" t="s">
        <v>131</v>
      </c>
      <c r="C26" s="18" t="s">
        <v>24</v>
      </c>
      <c r="D26" s="21" t="s">
        <v>103</v>
      </c>
      <c r="E26" s="22">
        <f t="shared" si="0"/>
        <v>48357.2</v>
      </c>
      <c r="F26" s="23">
        <v>18080.7</v>
      </c>
      <c r="G26" s="24">
        <f>100+29974+5+100+97.5</f>
        <v>30276.5</v>
      </c>
      <c r="H26" s="24">
        <v>0</v>
      </c>
      <c r="I26" s="24">
        <v>0</v>
      </c>
      <c r="J26" s="24">
        <v>0</v>
      </c>
      <c r="K26" s="24">
        <v>0</v>
      </c>
      <c r="L26" s="25">
        <v>0</v>
      </c>
      <c r="M26" s="25">
        <v>0</v>
      </c>
      <c r="N26" s="26" t="s">
        <v>124</v>
      </c>
      <c r="O26" s="27" t="s">
        <v>78</v>
      </c>
      <c r="P26" s="14"/>
      <c r="Q26" s="102"/>
      <c r="R26" s="102"/>
      <c r="S26" s="102"/>
      <c r="T26" s="102"/>
      <c r="U26" s="102"/>
    </row>
    <row r="27" spans="1:21" ht="75" customHeight="1" x14ac:dyDescent="0.2">
      <c r="A27" s="30" t="s">
        <v>90</v>
      </c>
      <c r="B27" s="31" t="s">
        <v>132</v>
      </c>
      <c r="C27" s="18" t="s">
        <v>24</v>
      </c>
      <c r="D27" s="21" t="s">
        <v>103</v>
      </c>
      <c r="E27" s="22">
        <f t="shared" si="0"/>
        <v>2863.5</v>
      </c>
      <c r="F27" s="23">
        <v>1963.9</v>
      </c>
      <c r="G27" s="24">
        <v>899.6</v>
      </c>
      <c r="H27" s="24">
        <v>0</v>
      </c>
      <c r="I27" s="24">
        <v>0</v>
      </c>
      <c r="J27" s="24">
        <v>0</v>
      </c>
      <c r="K27" s="24">
        <v>0</v>
      </c>
      <c r="L27" s="25">
        <v>0</v>
      </c>
      <c r="M27" s="25">
        <v>0</v>
      </c>
      <c r="N27" s="26" t="s">
        <v>124</v>
      </c>
      <c r="O27" s="27" t="s">
        <v>78</v>
      </c>
      <c r="P27" s="14"/>
      <c r="Q27" s="11"/>
      <c r="R27" s="11"/>
      <c r="S27" s="11"/>
      <c r="T27" s="11"/>
      <c r="U27" s="11"/>
    </row>
    <row r="28" spans="1:21" ht="48.75" customHeight="1" x14ac:dyDescent="0.2">
      <c r="A28" s="30" t="s">
        <v>98</v>
      </c>
      <c r="B28" s="31" t="s">
        <v>133</v>
      </c>
      <c r="C28" s="18" t="s">
        <v>24</v>
      </c>
      <c r="D28" s="21" t="s">
        <v>76</v>
      </c>
      <c r="E28" s="22">
        <f t="shared" si="0"/>
        <v>39</v>
      </c>
      <c r="F28" s="23">
        <v>39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5">
        <v>0</v>
      </c>
      <c r="M28" s="25">
        <v>0</v>
      </c>
      <c r="N28" s="26" t="s">
        <v>124</v>
      </c>
      <c r="O28" s="27" t="s">
        <v>78</v>
      </c>
      <c r="P28" s="14"/>
      <c r="Q28" s="109"/>
      <c r="R28" s="110"/>
      <c r="S28" s="110"/>
      <c r="T28" s="110"/>
      <c r="U28" s="110"/>
    </row>
    <row r="29" spans="1:21" ht="51" customHeight="1" x14ac:dyDescent="0.2">
      <c r="A29" s="30" t="s">
        <v>99</v>
      </c>
      <c r="B29" s="31" t="s">
        <v>134</v>
      </c>
      <c r="C29" s="18" t="s">
        <v>24</v>
      </c>
      <c r="D29" s="21" t="s">
        <v>76</v>
      </c>
      <c r="E29" s="22">
        <f t="shared" si="0"/>
        <v>37</v>
      </c>
      <c r="F29" s="23">
        <v>37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5">
        <v>0</v>
      </c>
      <c r="M29" s="25">
        <v>0</v>
      </c>
      <c r="N29" s="26" t="s">
        <v>124</v>
      </c>
      <c r="O29" s="27" t="s">
        <v>78</v>
      </c>
      <c r="P29" s="14"/>
    </row>
    <row r="30" spans="1:21" ht="23.25" customHeight="1" x14ac:dyDescent="0.2">
      <c r="A30" s="149" t="s">
        <v>123</v>
      </c>
      <c r="B30" s="105" t="s">
        <v>128</v>
      </c>
      <c r="C30" s="18" t="s">
        <v>24</v>
      </c>
      <c r="D30" s="21" t="s">
        <v>104</v>
      </c>
      <c r="E30" s="32">
        <f t="shared" si="0"/>
        <v>30</v>
      </c>
      <c r="F30" s="23">
        <v>0</v>
      </c>
      <c r="G30" s="24">
        <v>30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105" t="s">
        <v>124</v>
      </c>
      <c r="O30" s="105" t="s">
        <v>78</v>
      </c>
      <c r="P30" s="14"/>
    </row>
    <row r="31" spans="1:21" ht="27" customHeight="1" x14ac:dyDescent="0.2">
      <c r="A31" s="150"/>
      <c r="B31" s="106"/>
      <c r="C31" s="18" t="s">
        <v>91</v>
      </c>
      <c r="D31" s="21" t="s">
        <v>104</v>
      </c>
      <c r="E31" s="32">
        <f t="shared" si="0"/>
        <v>270</v>
      </c>
      <c r="F31" s="23">
        <v>0</v>
      </c>
      <c r="G31" s="24">
        <v>270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106"/>
      <c r="O31" s="106"/>
      <c r="P31" s="14"/>
    </row>
    <row r="32" spans="1:21" ht="25.5" customHeight="1" x14ac:dyDescent="0.2">
      <c r="A32" s="149" t="s">
        <v>126</v>
      </c>
      <c r="B32" s="105" t="s">
        <v>127</v>
      </c>
      <c r="C32" s="18" t="s">
        <v>24</v>
      </c>
      <c r="D32" s="21" t="s">
        <v>104</v>
      </c>
      <c r="E32" s="32">
        <f>SUM(F32:K32)</f>
        <v>30</v>
      </c>
      <c r="F32" s="23">
        <v>0</v>
      </c>
      <c r="G32" s="24">
        <v>30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105" t="s">
        <v>124</v>
      </c>
      <c r="O32" s="105" t="s">
        <v>78</v>
      </c>
      <c r="P32" s="14"/>
    </row>
    <row r="33" spans="1:21" ht="24" customHeight="1" x14ac:dyDescent="0.2">
      <c r="A33" s="150"/>
      <c r="B33" s="106"/>
      <c r="C33" s="18" t="s">
        <v>91</v>
      </c>
      <c r="D33" s="21" t="s">
        <v>104</v>
      </c>
      <c r="E33" s="32">
        <f>SUM(F33:K33)</f>
        <v>270</v>
      </c>
      <c r="F33" s="23">
        <v>0</v>
      </c>
      <c r="G33" s="24">
        <v>270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106"/>
      <c r="O33" s="106"/>
      <c r="P33" s="14"/>
    </row>
    <row r="34" spans="1:21" ht="25.5" customHeight="1" x14ac:dyDescent="0.2">
      <c r="A34" s="118" t="s">
        <v>137</v>
      </c>
      <c r="B34" s="105" t="s">
        <v>145</v>
      </c>
      <c r="C34" s="18" t="s">
        <v>24</v>
      </c>
      <c r="D34" s="34" t="s">
        <v>147</v>
      </c>
      <c r="E34" s="32">
        <f>SUM(F34:M34)</f>
        <v>22201.3</v>
      </c>
      <c r="F34" s="23">
        <v>0</v>
      </c>
      <c r="G34" s="24">
        <v>0</v>
      </c>
      <c r="H34" s="24">
        <f>300+4800+4000+2000+75+239.4+410.2+974.9+1430.3+337</f>
        <v>14566.8</v>
      </c>
      <c r="I34" s="24">
        <f>309-119+6128.2+175.3+30</f>
        <v>6523.5</v>
      </c>
      <c r="J34" s="24">
        <v>197.6</v>
      </c>
      <c r="K34" s="24">
        <v>205.3</v>
      </c>
      <c r="L34" s="35">
        <v>345.4</v>
      </c>
      <c r="M34" s="35">
        <v>362.7</v>
      </c>
      <c r="N34" s="103" t="s">
        <v>124</v>
      </c>
      <c r="O34" s="105" t="s">
        <v>78</v>
      </c>
      <c r="P34" s="14"/>
    </row>
    <row r="35" spans="1:21" ht="23.25" customHeight="1" x14ac:dyDescent="0.2">
      <c r="A35" s="119"/>
      <c r="B35" s="106"/>
      <c r="C35" s="18" t="s">
        <v>91</v>
      </c>
      <c r="D35" s="34" t="s">
        <v>160</v>
      </c>
      <c r="E35" s="32">
        <f>SUM(F35:M35)</f>
        <v>7069</v>
      </c>
      <c r="F35" s="23">
        <v>0</v>
      </c>
      <c r="G35" s="24">
        <v>0</v>
      </c>
      <c r="H35" s="24">
        <v>0</v>
      </c>
      <c r="I35" s="24">
        <v>7069</v>
      </c>
      <c r="J35" s="24">
        <v>0</v>
      </c>
      <c r="K35" s="24">
        <v>0</v>
      </c>
      <c r="L35" s="35">
        <v>0</v>
      </c>
      <c r="M35" s="35">
        <v>0</v>
      </c>
      <c r="N35" s="104"/>
      <c r="O35" s="106"/>
      <c r="P35" s="14"/>
    </row>
    <row r="36" spans="1:21" ht="14.25" customHeight="1" x14ac:dyDescent="0.2">
      <c r="A36" s="18"/>
      <c r="B36" s="36" t="s">
        <v>52</v>
      </c>
      <c r="C36" s="18"/>
      <c r="D36" s="18"/>
      <c r="E36" s="32">
        <f t="shared" ref="E36:M36" si="1">SUM(E19:E35)</f>
        <v>148061.79999999999</v>
      </c>
      <c r="F36" s="22">
        <f t="shared" si="1"/>
        <v>27691.000000000004</v>
      </c>
      <c r="G36" s="22">
        <f t="shared" si="1"/>
        <v>40426.9</v>
      </c>
      <c r="H36" s="22">
        <f t="shared" si="1"/>
        <v>28900.1</v>
      </c>
      <c r="I36" s="22">
        <f t="shared" si="1"/>
        <v>19683.599999999999</v>
      </c>
      <c r="J36" s="22">
        <f t="shared" si="1"/>
        <v>9255.1</v>
      </c>
      <c r="K36" s="22">
        <f t="shared" si="1"/>
        <v>9101.4999999999982</v>
      </c>
      <c r="L36" s="22">
        <f t="shared" si="1"/>
        <v>6343.1999999999989</v>
      </c>
      <c r="M36" s="22">
        <f t="shared" si="1"/>
        <v>6660.4</v>
      </c>
      <c r="N36" s="50"/>
      <c r="O36" s="37"/>
      <c r="P36" s="14"/>
    </row>
    <row r="37" spans="1:21" ht="15.75" customHeight="1" x14ac:dyDescent="0.2">
      <c r="A37" s="18"/>
      <c r="B37" s="36" t="s">
        <v>29</v>
      </c>
      <c r="C37" s="18"/>
      <c r="D37" s="18"/>
      <c r="E37" s="22">
        <f>SUM(F37:M37)</f>
        <v>131634.4</v>
      </c>
      <c r="F37" s="22">
        <f>F19+F21+F22+F24+F26+F27+F29++F30+F28</f>
        <v>27691.000000000004</v>
      </c>
      <c r="G37" s="22">
        <f>G19+G21+G22+G24+G26+G27+G29++G30+G28+G32</f>
        <v>37236.9</v>
      </c>
      <c r="H37" s="22">
        <f>H19+H21+H22+H24+H26+H27+H29+H34+H30+H28</f>
        <v>25813.599999999999</v>
      </c>
      <c r="I37" s="22">
        <f>I19+I21+I22+I24+I26+I27+I29+I34+I30+I28</f>
        <v>11984.6</v>
      </c>
      <c r="J37" s="22">
        <f>J19+J21+J22+J24+J26+J27+J29+J34+J30+J28</f>
        <v>7795.9</v>
      </c>
      <c r="K37" s="22">
        <f>K19+K21+K22+K24+K26+K27+K29+K34+K30+K28</f>
        <v>8108.8</v>
      </c>
      <c r="L37" s="22">
        <f>L36</f>
        <v>6343.1999999999989</v>
      </c>
      <c r="M37" s="22">
        <f>M36</f>
        <v>6660.4</v>
      </c>
      <c r="N37" s="50"/>
      <c r="O37" s="38"/>
      <c r="P37" s="14"/>
    </row>
    <row r="38" spans="1:21" ht="15.75" customHeight="1" x14ac:dyDescent="0.2">
      <c r="A38" s="18"/>
      <c r="B38" s="36" t="s">
        <v>91</v>
      </c>
      <c r="C38" s="18"/>
      <c r="D38" s="18"/>
      <c r="E38" s="22">
        <f>SUM(F38:M38)</f>
        <v>16427.400000000001</v>
      </c>
      <c r="F38" s="22">
        <f>F31+F25</f>
        <v>0</v>
      </c>
      <c r="G38" s="22">
        <f>G33+G31+G25</f>
        <v>3190</v>
      </c>
      <c r="H38" s="22">
        <f>H31+H25</f>
        <v>3086.5</v>
      </c>
      <c r="I38" s="22">
        <f>I31+I25+I20+I35</f>
        <v>7699</v>
      </c>
      <c r="J38" s="22">
        <f>J31+J25+J20+J23</f>
        <v>1459.2</v>
      </c>
      <c r="K38" s="22">
        <f>K31+K25+K20+K23</f>
        <v>992.7</v>
      </c>
      <c r="L38" s="22">
        <f>L31+L25+L20+L23</f>
        <v>0</v>
      </c>
      <c r="M38" s="22">
        <f>M31+M25+M20+M23</f>
        <v>0</v>
      </c>
      <c r="N38" s="50"/>
      <c r="O38" s="38"/>
      <c r="P38" s="14"/>
    </row>
    <row r="39" spans="1:21" ht="16.5" customHeight="1" x14ac:dyDescent="0.2">
      <c r="A39" s="129" t="s">
        <v>108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1"/>
      <c r="P39" s="14" t="s">
        <v>48</v>
      </c>
      <c r="Q39" s="111"/>
      <c r="R39" s="101"/>
      <c r="S39" s="101"/>
      <c r="T39" s="101"/>
      <c r="U39" s="101"/>
    </row>
    <row r="40" spans="1:21" ht="52.5" customHeight="1" x14ac:dyDescent="0.2">
      <c r="A40" s="18" t="s">
        <v>8</v>
      </c>
      <c r="B40" s="27" t="s">
        <v>82</v>
      </c>
      <c r="C40" s="18" t="s">
        <v>24</v>
      </c>
      <c r="D40" s="21" t="s">
        <v>146</v>
      </c>
      <c r="E40" s="22">
        <f>F40+G40+H40+I40+K40+J40+L40+M40</f>
        <v>27244.699999999997</v>
      </c>
      <c r="F40" s="23">
        <v>1876.3</v>
      </c>
      <c r="G40" s="24">
        <f>2450.6+255+192+45.7</f>
        <v>2943.2999999999997</v>
      </c>
      <c r="H40" s="24">
        <f>6660.2-51.5-12.2</f>
        <v>6596.5</v>
      </c>
      <c r="I40" s="24">
        <f>2800+867.9-82.1</f>
        <v>3585.8</v>
      </c>
      <c r="J40" s="24">
        <v>3814.6</v>
      </c>
      <c r="K40" s="24">
        <v>3963.3</v>
      </c>
      <c r="L40" s="24">
        <v>2178</v>
      </c>
      <c r="M40" s="24">
        <v>2286.9</v>
      </c>
      <c r="N40" s="27" t="s">
        <v>59</v>
      </c>
      <c r="O40" s="27" t="s">
        <v>40</v>
      </c>
      <c r="P40" s="14"/>
    </row>
    <row r="41" spans="1:21" ht="61.5" customHeight="1" x14ac:dyDescent="0.2">
      <c r="A41" s="18" t="s">
        <v>25</v>
      </c>
      <c r="B41" s="27" t="s">
        <v>51</v>
      </c>
      <c r="C41" s="18" t="s">
        <v>24</v>
      </c>
      <c r="D41" s="21" t="s">
        <v>146</v>
      </c>
      <c r="E41" s="22">
        <f>F41+G41+H41+I41+K41+J41+L41+M41</f>
        <v>1119.9000000000001</v>
      </c>
      <c r="F41" s="39">
        <v>98.5</v>
      </c>
      <c r="G41" s="40">
        <f>205-5-71.5</f>
        <v>128.5</v>
      </c>
      <c r="H41" s="40">
        <v>150</v>
      </c>
      <c r="I41" s="41">
        <v>150</v>
      </c>
      <c r="J41" s="41">
        <v>156</v>
      </c>
      <c r="K41" s="41">
        <v>162</v>
      </c>
      <c r="L41" s="41">
        <v>134.1</v>
      </c>
      <c r="M41" s="41">
        <v>140.80000000000001</v>
      </c>
      <c r="N41" s="42" t="s">
        <v>59</v>
      </c>
      <c r="O41" s="27" t="s">
        <v>40</v>
      </c>
      <c r="P41" s="14"/>
    </row>
    <row r="42" spans="1:21" ht="23.25" customHeight="1" x14ac:dyDescent="0.2">
      <c r="A42" s="103" t="s">
        <v>26</v>
      </c>
      <c r="B42" s="105" t="s">
        <v>66</v>
      </c>
      <c r="C42" s="18" t="s">
        <v>29</v>
      </c>
      <c r="D42" s="21" t="s">
        <v>146</v>
      </c>
      <c r="E42" s="22">
        <f>F42+G42+H42+I42+K42+J42+L42+M42</f>
        <v>57338.000000000007</v>
      </c>
      <c r="F42" s="23">
        <v>906</v>
      </c>
      <c r="G42" s="24">
        <v>8454.9</v>
      </c>
      <c r="H42" s="40">
        <f>15000+410.2+239.4+974.9-239.4-410.2-974.9+3720+760+713.4-1406.6-17.8+21+95.4</f>
        <v>18885.400000000005</v>
      </c>
      <c r="I42" s="40">
        <f>6818.8+500+1000+156.1+881.7+408.6+119.8-30</f>
        <v>9855</v>
      </c>
      <c r="J42" s="40">
        <f>8320+1040-1286</f>
        <v>8074</v>
      </c>
      <c r="K42" s="40">
        <v>8644.5</v>
      </c>
      <c r="L42" s="43">
        <v>1228.4000000000001</v>
      </c>
      <c r="M42" s="43">
        <v>1289.8</v>
      </c>
      <c r="N42" s="105" t="s">
        <v>59</v>
      </c>
      <c r="O42" s="105" t="s">
        <v>100</v>
      </c>
      <c r="P42" s="14"/>
    </row>
    <row r="43" spans="1:21" s="12" customFormat="1" ht="24" customHeight="1" x14ac:dyDescent="0.2">
      <c r="A43" s="132"/>
      <c r="B43" s="133"/>
      <c r="C43" s="18" t="s">
        <v>91</v>
      </c>
      <c r="D43" s="44" t="s">
        <v>144</v>
      </c>
      <c r="E43" s="22">
        <f t="shared" ref="E43:E46" si="2">F43+G43+H43+I43+K43+J43</f>
        <v>27184.600000000002</v>
      </c>
      <c r="F43" s="23">
        <v>742.9</v>
      </c>
      <c r="G43" s="24">
        <v>742.9</v>
      </c>
      <c r="H43" s="40">
        <f>736.8+4455.8</f>
        <v>5192.6000000000004</v>
      </c>
      <c r="I43" s="40">
        <f>726+1578.2+16750</f>
        <v>19054.2</v>
      </c>
      <c r="J43" s="40">
        <v>726</v>
      </c>
      <c r="K43" s="40">
        <v>726</v>
      </c>
      <c r="L43" s="40">
        <v>0</v>
      </c>
      <c r="M43" s="40">
        <v>0</v>
      </c>
      <c r="N43" s="133"/>
      <c r="O43" s="133"/>
      <c r="P43" s="14"/>
    </row>
    <row r="44" spans="1:21" s="12" customFormat="1" ht="50.25" customHeight="1" x14ac:dyDescent="0.2">
      <c r="A44" s="104"/>
      <c r="B44" s="106"/>
      <c r="C44" s="18" t="s">
        <v>94</v>
      </c>
      <c r="D44" s="44" t="s">
        <v>103</v>
      </c>
      <c r="E44" s="22">
        <f t="shared" si="2"/>
        <v>48218.5</v>
      </c>
      <c r="F44" s="23">
        <v>12263.4</v>
      </c>
      <c r="G44" s="24">
        <f>15000-44.9</f>
        <v>14955.1</v>
      </c>
      <c r="H44" s="40">
        <v>21000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106"/>
      <c r="O44" s="106"/>
      <c r="P44" s="14"/>
    </row>
    <row r="45" spans="1:21" s="12" customFormat="1" ht="74.25" customHeight="1" x14ac:dyDescent="0.2">
      <c r="A45" s="18" t="s">
        <v>27</v>
      </c>
      <c r="B45" s="31" t="s">
        <v>67</v>
      </c>
      <c r="C45" s="18" t="s">
        <v>24</v>
      </c>
      <c r="D45" s="21" t="s">
        <v>146</v>
      </c>
      <c r="E45" s="22">
        <f>F45+G45+H45+I45+K45+J45+L45+M45</f>
        <v>26665.7</v>
      </c>
      <c r="F45" s="45">
        <v>2500</v>
      </c>
      <c r="G45" s="28">
        <v>3000</v>
      </c>
      <c r="H45" s="28">
        <v>3375.7</v>
      </c>
      <c r="I45" s="25">
        <v>3500</v>
      </c>
      <c r="J45" s="25">
        <v>3640</v>
      </c>
      <c r="K45" s="25">
        <v>3782</v>
      </c>
      <c r="L45" s="25">
        <v>3350.2</v>
      </c>
      <c r="M45" s="25">
        <v>3517.8</v>
      </c>
      <c r="N45" s="42" t="s">
        <v>59</v>
      </c>
      <c r="O45" s="19" t="s">
        <v>40</v>
      </c>
      <c r="P45" s="14"/>
    </row>
    <row r="46" spans="1:21" s="12" customFormat="1" ht="37.5" customHeight="1" x14ac:dyDescent="0.2">
      <c r="A46" s="30" t="s">
        <v>28</v>
      </c>
      <c r="B46" s="46" t="s">
        <v>86</v>
      </c>
      <c r="C46" s="18" t="s">
        <v>24</v>
      </c>
      <c r="D46" s="21" t="s">
        <v>143</v>
      </c>
      <c r="E46" s="22">
        <f t="shared" si="2"/>
        <v>36565.9</v>
      </c>
      <c r="F46" s="23">
        <v>11105</v>
      </c>
      <c r="G46" s="24">
        <f>13513.7+569.5</f>
        <v>14083.2</v>
      </c>
      <c r="H46" s="24">
        <v>6350</v>
      </c>
      <c r="I46" s="24">
        <f>4960.7+67</f>
        <v>5027.7</v>
      </c>
      <c r="J46" s="24">
        <v>0</v>
      </c>
      <c r="K46" s="24">
        <v>0</v>
      </c>
      <c r="L46" s="24">
        <v>0</v>
      </c>
      <c r="M46" s="24">
        <v>0</v>
      </c>
      <c r="N46" s="27" t="s">
        <v>59</v>
      </c>
      <c r="O46" s="27" t="s">
        <v>41</v>
      </c>
      <c r="P46" s="14"/>
      <c r="Q46" s="112"/>
      <c r="R46" s="112"/>
      <c r="S46" s="112"/>
      <c r="T46" s="112"/>
      <c r="U46" s="112"/>
    </row>
    <row r="47" spans="1:21" ht="34.5" customHeight="1" x14ac:dyDescent="0.2">
      <c r="A47" s="30" t="s">
        <v>87</v>
      </c>
      <c r="B47" s="46" t="s">
        <v>88</v>
      </c>
      <c r="C47" s="18" t="s">
        <v>24</v>
      </c>
      <c r="D47" s="21" t="s">
        <v>155</v>
      </c>
      <c r="E47" s="22">
        <f>SUM(F47:K47)</f>
        <v>695</v>
      </c>
      <c r="F47" s="23">
        <v>0</v>
      </c>
      <c r="G47" s="24">
        <v>200</v>
      </c>
      <c r="H47" s="24">
        <v>495</v>
      </c>
      <c r="I47" s="24">
        <f>100-67-33</f>
        <v>0</v>
      </c>
      <c r="J47" s="24">
        <v>0</v>
      </c>
      <c r="K47" s="24">
        <v>0</v>
      </c>
      <c r="L47" s="24">
        <v>0</v>
      </c>
      <c r="M47" s="24">
        <v>0</v>
      </c>
      <c r="N47" s="27" t="s">
        <v>59</v>
      </c>
      <c r="O47" s="27" t="s">
        <v>41</v>
      </c>
      <c r="P47" s="14"/>
    </row>
    <row r="48" spans="1:21" ht="78" customHeight="1" x14ac:dyDescent="0.2">
      <c r="A48" s="47" t="s">
        <v>149</v>
      </c>
      <c r="B48" s="46" t="s">
        <v>151</v>
      </c>
      <c r="C48" s="18" t="s">
        <v>24</v>
      </c>
      <c r="D48" s="21" t="s">
        <v>150</v>
      </c>
      <c r="E48" s="32">
        <f>SUM(F48:M48)</f>
        <v>300</v>
      </c>
      <c r="F48" s="23">
        <v>0</v>
      </c>
      <c r="G48" s="24">
        <v>0</v>
      </c>
      <c r="H48" s="24">
        <v>100</v>
      </c>
      <c r="I48" s="24">
        <v>200</v>
      </c>
      <c r="J48" s="24">
        <v>0</v>
      </c>
      <c r="K48" s="24">
        <v>0</v>
      </c>
      <c r="L48" s="24">
        <v>0</v>
      </c>
      <c r="M48" s="24">
        <v>0</v>
      </c>
      <c r="N48" s="27" t="s">
        <v>59</v>
      </c>
      <c r="O48" s="27" t="s">
        <v>40</v>
      </c>
      <c r="P48" s="14"/>
    </row>
    <row r="49" spans="1:20" ht="16.5" customHeight="1" x14ac:dyDescent="0.2">
      <c r="A49" s="48"/>
      <c r="B49" s="49" t="s">
        <v>53</v>
      </c>
      <c r="C49" s="20"/>
      <c r="D49" s="21"/>
      <c r="E49" s="32">
        <f t="shared" ref="E49:M49" si="3">SUM(E40:E48)</f>
        <v>225332.30000000002</v>
      </c>
      <c r="F49" s="22">
        <f t="shared" si="3"/>
        <v>29492.1</v>
      </c>
      <c r="G49" s="22">
        <f t="shared" si="3"/>
        <v>44507.899999999994</v>
      </c>
      <c r="H49" s="22">
        <f t="shared" si="3"/>
        <v>62145.200000000004</v>
      </c>
      <c r="I49" s="22">
        <f t="shared" si="3"/>
        <v>41372.699999999997</v>
      </c>
      <c r="J49" s="22">
        <f t="shared" si="3"/>
        <v>16410.599999999999</v>
      </c>
      <c r="K49" s="22">
        <f t="shared" si="3"/>
        <v>17277.8</v>
      </c>
      <c r="L49" s="22">
        <f t="shared" si="3"/>
        <v>6890.7</v>
      </c>
      <c r="M49" s="22">
        <f t="shared" si="3"/>
        <v>7235.3</v>
      </c>
      <c r="N49" s="50"/>
      <c r="O49" s="50"/>
      <c r="P49" s="14"/>
    </row>
    <row r="50" spans="1:20" ht="27.75" customHeight="1" x14ac:dyDescent="0.2">
      <c r="A50" s="51"/>
      <c r="B50" s="49" t="s">
        <v>94</v>
      </c>
      <c r="C50" s="20"/>
      <c r="D50" s="21"/>
      <c r="E50" s="22">
        <f>SUM(F50:K50)</f>
        <v>48218.5</v>
      </c>
      <c r="F50" s="22">
        <v>12263.4</v>
      </c>
      <c r="G50" s="22">
        <f>G44</f>
        <v>14955.1</v>
      </c>
      <c r="H50" s="22">
        <f>H44</f>
        <v>21000</v>
      </c>
      <c r="I50" s="22">
        <f>I44</f>
        <v>0</v>
      </c>
      <c r="J50" s="22">
        <f>J44</f>
        <v>0</v>
      </c>
      <c r="K50" s="22">
        <f>K44</f>
        <v>0</v>
      </c>
      <c r="L50" s="22">
        <v>0</v>
      </c>
      <c r="M50" s="22">
        <v>0</v>
      </c>
      <c r="N50" s="50"/>
      <c r="O50" s="27"/>
      <c r="P50" s="14"/>
    </row>
    <row r="51" spans="1:20" ht="14.25" customHeight="1" x14ac:dyDescent="0.2">
      <c r="A51" s="51"/>
      <c r="B51" s="49" t="s">
        <v>91</v>
      </c>
      <c r="C51" s="20"/>
      <c r="D51" s="21"/>
      <c r="E51" s="22">
        <f>SUM(F51:K51)</f>
        <v>27184.600000000002</v>
      </c>
      <c r="F51" s="22">
        <v>742.9</v>
      </c>
      <c r="G51" s="22">
        <f>G43</f>
        <v>742.9</v>
      </c>
      <c r="H51" s="22">
        <f>H43</f>
        <v>5192.6000000000004</v>
      </c>
      <c r="I51" s="22">
        <f t="shared" ref="I51:K51" si="4">I43</f>
        <v>19054.2</v>
      </c>
      <c r="J51" s="22">
        <f t="shared" si="4"/>
        <v>726</v>
      </c>
      <c r="K51" s="22">
        <f t="shared" si="4"/>
        <v>726</v>
      </c>
      <c r="L51" s="52">
        <v>0</v>
      </c>
      <c r="M51" s="52">
        <v>0</v>
      </c>
      <c r="N51" s="50"/>
      <c r="O51" s="27"/>
      <c r="P51" s="14"/>
    </row>
    <row r="52" spans="1:20" ht="15" customHeight="1" x14ac:dyDescent="0.2">
      <c r="A52" s="18"/>
      <c r="B52" s="36" t="s">
        <v>29</v>
      </c>
      <c r="C52" s="18"/>
      <c r="D52" s="18"/>
      <c r="E52" s="22">
        <f>SUM(E49-E50-E51)</f>
        <v>149929.20000000001</v>
      </c>
      <c r="F52" s="22">
        <f>SUM(F49-F50-F51)</f>
        <v>16485.799999999996</v>
      </c>
      <c r="G52" s="22">
        <f>G49-G51-G50</f>
        <v>28809.899999999994</v>
      </c>
      <c r="H52" s="22">
        <f>H49-H51-H50</f>
        <v>35952.600000000006</v>
      </c>
      <c r="I52" s="22">
        <f>I49-I51-I50</f>
        <v>22318.499999999996</v>
      </c>
      <c r="J52" s="22">
        <f>J49-J51-J50</f>
        <v>15684.599999999999</v>
      </c>
      <c r="K52" s="22">
        <f>K49-K51-K50</f>
        <v>16551.8</v>
      </c>
      <c r="L52" s="22">
        <f>L49-L50-L51</f>
        <v>6890.7</v>
      </c>
      <c r="M52" s="22">
        <f>M49-M50-M51</f>
        <v>7235.3</v>
      </c>
      <c r="N52" s="50"/>
      <c r="O52" s="33"/>
      <c r="P52" s="14"/>
    </row>
    <row r="53" spans="1:20" ht="16.5" customHeight="1" x14ac:dyDescent="0.2">
      <c r="A53" s="127" t="s">
        <v>109</v>
      </c>
      <c r="B53" s="127"/>
      <c r="C53" s="127"/>
      <c r="D53" s="127"/>
      <c r="E53" s="128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4"/>
      <c r="T53" s="6"/>
    </row>
    <row r="54" spans="1:20" ht="82.5" customHeight="1" x14ac:dyDescent="0.2">
      <c r="A54" s="53" t="s">
        <v>9</v>
      </c>
      <c r="B54" s="31" t="s">
        <v>83</v>
      </c>
      <c r="C54" s="18" t="s">
        <v>24</v>
      </c>
      <c r="D54" s="44" t="s">
        <v>146</v>
      </c>
      <c r="E54" s="54">
        <f>F54+G54+H54+I54+K54+J54+L54+M54</f>
        <v>301070.10000000003</v>
      </c>
      <c r="F54" s="23">
        <v>27939.599999999999</v>
      </c>
      <c r="G54" s="24">
        <v>31946.6</v>
      </c>
      <c r="H54" s="24">
        <f>30958.2+6976.3+3793</f>
        <v>41727.5</v>
      </c>
      <c r="I54" s="55">
        <f>32506.1+9766.9</f>
        <v>42273</v>
      </c>
      <c r="J54" s="55">
        <f>43963.9-9600.3</f>
        <v>34363.600000000006</v>
      </c>
      <c r="K54" s="55">
        <v>45678.5</v>
      </c>
      <c r="L54" s="55">
        <v>37629.9</v>
      </c>
      <c r="M54" s="55">
        <v>39511.4</v>
      </c>
      <c r="N54" s="42" t="s">
        <v>59</v>
      </c>
      <c r="O54" s="31" t="s">
        <v>68</v>
      </c>
      <c r="P54" s="14"/>
    </row>
    <row r="55" spans="1:20" ht="34.5" customHeight="1" x14ac:dyDescent="0.2">
      <c r="A55" s="18" t="s">
        <v>10</v>
      </c>
      <c r="B55" s="31" t="s">
        <v>92</v>
      </c>
      <c r="C55" s="18" t="s">
        <v>24</v>
      </c>
      <c r="D55" s="44" t="s">
        <v>76</v>
      </c>
      <c r="E55" s="54">
        <f>F55+G55+H55+I55+K55+J55</f>
        <v>53</v>
      </c>
      <c r="F55" s="23">
        <v>53</v>
      </c>
      <c r="G55" s="24">
        <v>0</v>
      </c>
      <c r="H55" s="24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42" t="s">
        <v>59</v>
      </c>
      <c r="O55" s="31" t="s">
        <v>93</v>
      </c>
      <c r="P55" s="14"/>
    </row>
    <row r="56" spans="1:20" ht="39.75" customHeight="1" x14ac:dyDescent="0.2">
      <c r="A56" s="18" t="s">
        <v>11</v>
      </c>
      <c r="B56" s="31" t="s">
        <v>47</v>
      </c>
      <c r="C56" s="18" t="s">
        <v>24</v>
      </c>
      <c r="D56" s="44" t="s">
        <v>146</v>
      </c>
      <c r="E56" s="54">
        <f>F56+G56+H56+I56+K56+J56+L56+M56</f>
        <v>7957.7999999999993</v>
      </c>
      <c r="F56" s="23">
        <v>790.8</v>
      </c>
      <c r="G56" s="24">
        <v>830.3</v>
      </c>
      <c r="H56" s="24">
        <v>973.9</v>
      </c>
      <c r="I56" s="24">
        <v>1022.4</v>
      </c>
      <c r="J56" s="24">
        <v>1063.3</v>
      </c>
      <c r="K56" s="24">
        <v>1104.8</v>
      </c>
      <c r="L56" s="24">
        <v>1059.7</v>
      </c>
      <c r="M56" s="24">
        <v>1112.5999999999999</v>
      </c>
      <c r="N56" s="27" t="s">
        <v>59</v>
      </c>
      <c r="O56" s="31" t="s">
        <v>30</v>
      </c>
      <c r="P56" s="14"/>
    </row>
    <row r="57" spans="1:20" ht="15" customHeight="1" x14ac:dyDescent="0.2">
      <c r="A57" s="20"/>
      <c r="B57" s="49" t="s">
        <v>54</v>
      </c>
      <c r="C57" s="20"/>
      <c r="D57" s="21"/>
      <c r="E57" s="56">
        <f>SUM(E54:E56)</f>
        <v>309080.90000000002</v>
      </c>
      <c r="F57" s="56">
        <f>F56+F55+F54</f>
        <v>28783.399999999998</v>
      </c>
      <c r="G57" s="56">
        <f>SUM(G54:G56)</f>
        <v>32776.9</v>
      </c>
      <c r="H57" s="56">
        <f>H56+H55+H54</f>
        <v>42701.4</v>
      </c>
      <c r="I57" s="56">
        <f>I56+I55+I54</f>
        <v>43295.4</v>
      </c>
      <c r="J57" s="56">
        <f>J56+J55+J54</f>
        <v>35426.900000000009</v>
      </c>
      <c r="K57" s="56">
        <f>SUM(K54:K56)</f>
        <v>46783.3</v>
      </c>
      <c r="L57" s="56">
        <f>SUM(L54:L56)</f>
        <v>38689.599999999999</v>
      </c>
      <c r="M57" s="56">
        <f>SUM(M54:M56)</f>
        <v>40624</v>
      </c>
      <c r="N57" s="95"/>
      <c r="O57" s="46"/>
      <c r="P57" s="14"/>
    </row>
    <row r="58" spans="1:20" ht="14.25" customHeight="1" x14ac:dyDescent="0.2">
      <c r="A58" s="18"/>
      <c r="B58" s="36" t="s">
        <v>29</v>
      </c>
      <c r="C58" s="18"/>
      <c r="D58" s="18"/>
      <c r="E58" s="54">
        <f>SUM(F58:M58)</f>
        <v>309080.89999999997</v>
      </c>
      <c r="F58" s="54">
        <f t="shared" ref="F58:I58" si="5">F57</f>
        <v>28783.399999999998</v>
      </c>
      <c r="G58" s="54">
        <f t="shared" si="5"/>
        <v>32776.9</v>
      </c>
      <c r="H58" s="54">
        <f t="shared" si="5"/>
        <v>42701.4</v>
      </c>
      <c r="I58" s="54">
        <f t="shared" si="5"/>
        <v>43295.4</v>
      </c>
      <c r="J58" s="54">
        <f t="shared" ref="J58" si="6">J57</f>
        <v>35426.900000000009</v>
      </c>
      <c r="K58" s="54">
        <f>K57</f>
        <v>46783.3</v>
      </c>
      <c r="L58" s="54">
        <f>L57</f>
        <v>38689.599999999999</v>
      </c>
      <c r="M58" s="54">
        <f>M57</f>
        <v>40624</v>
      </c>
      <c r="N58" s="95"/>
      <c r="O58" s="31"/>
      <c r="P58" s="14"/>
    </row>
    <row r="59" spans="1:20" ht="16.5" customHeight="1" x14ac:dyDescent="0.2">
      <c r="A59" s="141" t="s">
        <v>110</v>
      </c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3"/>
      <c r="P59" s="14"/>
    </row>
    <row r="60" spans="1:20" s="12" customFormat="1" ht="34.5" customHeight="1" x14ac:dyDescent="0.2">
      <c r="A60" s="18" t="s">
        <v>12</v>
      </c>
      <c r="B60" s="31" t="s">
        <v>45</v>
      </c>
      <c r="C60" s="18" t="s">
        <v>24</v>
      </c>
      <c r="D60" s="44" t="s">
        <v>146</v>
      </c>
      <c r="E60" s="54">
        <f>F60+G60+H60+I60+K60+J60+L60+M60</f>
        <v>76611.700000000012</v>
      </c>
      <c r="F60" s="23">
        <v>7511.7</v>
      </c>
      <c r="G60" s="24">
        <f>6302.7+1600+96.4</f>
        <v>7999.0999999999995</v>
      </c>
      <c r="H60" s="24">
        <v>9832.2999999999993</v>
      </c>
      <c r="I60" s="55">
        <f>7313.5+3566.9</f>
        <v>10880.4</v>
      </c>
      <c r="J60" s="55">
        <v>11303</v>
      </c>
      <c r="K60" s="55">
        <v>11729.3</v>
      </c>
      <c r="L60" s="55">
        <v>8466.2999999999993</v>
      </c>
      <c r="M60" s="55">
        <v>8889.6</v>
      </c>
      <c r="N60" s="42" t="s">
        <v>59</v>
      </c>
      <c r="O60" s="31" t="s">
        <v>31</v>
      </c>
      <c r="P60" s="14"/>
    </row>
    <row r="61" spans="1:20" ht="71.25" customHeight="1" x14ac:dyDescent="0.2">
      <c r="A61" s="18" t="s">
        <v>13</v>
      </c>
      <c r="B61" s="31" t="s">
        <v>46</v>
      </c>
      <c r="C61" s="18" t="s">
        <v>24</v>
      </c>
      <c r="D61" s="44" t="s">
        <v>76</v>
      </c>
      <c r="E61" s="54">
        <f>F61+G61+H61+I61+K61+J61</f>
        <v>315</v>
      </c>
      <c r="F61" s="23">
        <v>315</v>
      </c>
      <c r="G61" s="24">
        <v>0</v>
      </c>
      <c r="H61" s="24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42" t="s">
        <v>59</v>
      </c>
      <c r="O61" s="31" t="s">
        <v>32</v>
      </c>
      <c r="P61" s="14"/>
    </row>
    <row r="62" spans="1:20" ht="39" customHeight="1" x14ac:dyDescent="0.2">
      <c r="A62" s="18" t="s">
        <v>22</v>
      </c>
      <c r="B62" s="31" t="s">
        <v>50</v>
      </c>
      <c r="C62" s="18" t="s">
        <v>24</v>
      </c>
      <c r="D62" s="44" t="s">
        <v>146</v>
      </c>
      <c r="E62" s="54">
        <f>F62+G62+H62+I62+K62+J62+L62+M62</f>
        <v>10252.1</v>
      </c>
      <c r="F62" s="23">
        <v>1090</v>
      </c>
      <c r="G62" s="24">
        <v>1144.5</v>
      </c>
      <c r="H62" s="24">
        <v>1045.5</v>
      </c>
      <c r="I62" s="24">
        <v>1261.8</v>
      </c>
      <c r="J62" s="24">
        <v>1324.9</v>
      </c>
      <c r="K62" s="24">
        <f>1391.1</f>
        <v>1391.1</v>
      </c>
      <c r="L62" s="24">
        <v>1460.6</v>
      </c>
      <c r="M62" s="24">
        <v>1533.7</v>
      </c>
      <c r="N62" s="27" t="s">
        <v>59</v>
      </c>
      <c r="O62" s="31" t="s">
        <v>70</v>
      </c>
      <c r="P62" s="14"/>
    </row>
    <row r="63" spans="1:20" ht="38.25" customHeight="1" x14ac:dyDescent="0.2">
      <c r="A63" s="51" t="s">
        <v>101</v>
      </c>
      <c r="B63" s="46" t="s">
        <v>102</v>
      </c>
      <c r="C63" s="18" t="s">
        <v>24</v>
      </c>
      <c r="D63" s="44" t="s">
        <v>156</v>
      </c>
      <c r="E63" s="54">
        <f>SUM(F63:M63)</f>
        <v>324</v>
      </c>
      <c r="F63" s="45">
        <v>0</v>
      </c>
      <c r="G63" s="28">
        <v>40</v>
      </c>
      <c r="H63" s="28">
        <v>50</v>
      </c>
      <c r="I63" s="28">
        <v>75</v>
      </c>
      <c r="J63" s="28">
        <v>78</v>
      </c>
      <c r="K63" s="28">
        <v>81</v>
      </c>
      <c r="L63" s="28">
        <v>0</v>
      </c>
      <c r="M63" s="28">
        <v>0</v>
      </c>
      <c r="N63" s="27" t="s">
        <v>59</v>
      </c>
      <c r="O63" s="57" t="s">
        <v>105</v>
      </c>
      <c r="P63" s="14"/>
    </row>
    <row r="64" spans="1:20" ht="69" customHeight="1" x14ac:dyDescent="0.2">
      <c r="A64" s="58" t="s">
        <v>139</v>
      </c>
      <c r="B64" s="46" t="s">
        <v>140</v>
      </c>
      <c r="C64" s="18" t="s">
        <v>24</v>
      </c>
      <c r="D64" s="21" t="s">
        <v>138</v>
      </c>
      <c r="E64" s="59">
        <f>SUM(F64:K64)</f>
        <v>4856.1000000000004</v>
      </c>
      <c r="F64" s="45">
        <v>0</v>
      </c>
      <c r="G64" s="28">
        <v>0</v>
      </c>
      <c r="H64" s="28">
        <v>4856.1000000000004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 t="s">
        <v>59</v>
      </c>
      <c r="O64" s="31" t="s">
        <v>32</v>
      </c>
      <c r="P64" s="14"/>
    </row>
    <row r="65" spans="1:20" ht="15" customHeight="1" x14ac:dyDescent="0.2">
      <c r="A65" s="48"/>
      <c r="B65" s="49" t="s">
        <v>55</v>
      </c>
      <c r="C65" s="20"/>
      <c r="D65" s="21"/>
      <c r="E65" s="54">
        <f t="shared" ref="E65:K65" si="7">SUM(E60:E64)</f>
        <v>92358.900000000023</v>
      </c>
      <c r="F65" s="54">
        <f t="shared" si="7"/>
        <v>8916.7000000000007</v>
      </c>
      <c r="G65" s="54">
        <f t="shared" si="7"/>
        <v>9183.5999999999985</v>
      </c>
      <c r="H65" s="54">
        <f t="shared" si="7"/>
        <v>15783.9</v>
      </c>
      <c r="I65" s="54">
        <f t="shared" si="7"/>
        <v>12217.199999999999</v>
      </c>
      <c r="J65" s="54">
        <f t="shared" si="7"/>
        <v>12705.9</v>
      </c>
      <c r="K65" s="54">
        <f t="shared" si="7"/>
        <v>13201.4</v>
      </c>
      <c r="L65" s="56">
        <f>SUM(L60:L64)</f>
        <v>9926.9</v>
      </c>
      <c r="M65" s="56">
        <f>SUM(M60:M64)</f>
        <v>10423.300000000001</v>
      </c>
      <c r="N65" s="95"/>
      <c r="O65" s="60"/>
      <c r="P65" s="14"/>
    </row>
    <row r="66" spans="1:20" ht="15" customHeight="1" x14ac:dyDescent="0.2">
      <c r="A66" s="18"/>
      <c r="B66" s="36" t="s">
        <v>29</v>
      </c>
      <c r="C66" s="18"/>
      <c r="D66" s="18"/>
      <c r="E66" s="54">
        <f>SUM(F66:M66)</f>
        <v>92358.9</v>
      </c>
      <c r="F66" s="54">
        <f t="shared" ref="F66:I66" si="8">F65</f>
        <v>8916.7000000000007</v>
      </c>
      <c r="G66" s="54">
        <f t="shared" si="8"/>
        <v>9183.5999999999985</v>
      </c>
      <c r="H66" s="54">
        <f t="shared" si="8"/>
        <v>15783.9</v>
      </c>
      <c r="I66" s="54">
        <f t="shared" si="8"/>
        <v>12217.199999999999</v>
      </c>
      <c r="J66" s="54">
        <f t="shared" ref="J66" si="9">J65</f>
        <v>12705.9</v>
      </c>
      <c r="K66" s="54">
        <f>K65</f>
        <v>13201.4</v>
      </c>
      <c r="L66" s="54">
        <f>L65</f>
        <v>9926.9</v>
      </c>
      <c r="M66" s="54">
        <f>M65</f>
        <v>10423.300000000001</v>
      </c>
      <c r="N66" s="95"/>
      <c r="O66" s="31"/>
      <c r="P66" s="14"/>
    </row>
    <row r="67" spans="1:20" ht="16.5" customHeight="1" x14ac:dyDescent="0.2">
      <c r="A67" s="144" t="s">
        <v>111</v>
      </c>
      <c r="B67" s="145"/>
      <c r="C67" s="145"/>
      <c r="D67" s="145"/>
      <c r="E67" s="135"/>
      <c r="F67" s="145"/>
      <c r="G67" s="145"/>
      <c r="H67" s="145"/>
      <c r="I67" s="145"/>
      <c r="J67" s="145"/>
      <c r="K67" s="145"/>
      <c r="L67" s="145"/>
      <c r="M67" s="145"/>
      <c r="N67" s="145"/>
      <c r="O67" s="146"/>
      <c r="P67" s="14"/>
      <c r="Q67" s="107"/>
      <c r="R67" s="108"/>
      <c r="S67" s="108"/>
      <c r="T67" s="108"/>
    </row>
    <row r="68" spans="1:20" ht="45" customHeight="1" x14ac:dyDescent="0.2">
      <c r="A68" s="18" t="s">
        <v>14</v>
      </c>
      <c r="B68" s="31" t="s">
        <v>69</v>
      </c>
      <c r="C68" s="61" t="s">
        <v>24</v>
      </c>
      <c r="D68" s="44" t="s">
        <v>146</v>
      </c>
      <c r="E68" s="54">
        <f>SUM(F68:M68)</f>
        <v>120746.59999999999</v>
      </c>
      <c r="F68" s="23">
        <v>10695.4</v>
      </c>
      <c r="G68" s="24">
        <f>11593.2+5+495</f>
        <v>12093.2</v>
      </c>
      <c r="H68" s="24">
        <f>11262.3+2151.9</f>
        <v>13414.199999999999</v>
      </c>
      <c r="I68" s="55">
        <f>11825.4+4431.6+5750</f>
        <v>22007</v>
      </c>
      <c r="J68" s="55">
        <v>16907.2</v>
      </c>
      <c r="K68" s="55">
        <v>17566.400000000001</v>
      </c>
      <c r="L68" s="55">
        <v>13689.4</v>
      </c>
      <c r="M68" s="55">
        <v>14373.8</v>
      </c>
      <c r="N68" s="42" t="s">
        <v>59</v>
      </c>
      <c r="O68" s="31" t="s">
        <v>33</v>
      </c>
      <c r="P68" s="14"/>
    </row>
    <row r="69" spans="1:20" ht="46.5" customHeight="1" x14ac:dyDescent="0.2">
      <c r="A69" s="18" t="s">
        <v>15</v>
      </c>
      <c r="B69" s="31" t="s">
        <v>71</v>
      </c>
      <c r="C69" s="18" t="s">
        <v>24</v>
      </c>
      <c r="D69" s="44" t="s">
        <v>76</v>
      </c>
      <c r="E69" s="54">
        <f>F69+G69+H69+I69+K69+J69</f>
        <v>500</v>
      </c>
      <c r="F69" s="23">
        <v>500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55">
        <v>0</v>
      </c>
      <c r="M69" s="55">
        <v>0</v>
      </c>
      <c r="N69" s="42" t="s">
        <v>59</v>
      </c>
      <c r="O69" s="27" t="s">
        <v>38</v>
      </c>
      <c r="P69" s="14"/>
    </row>
    <row r="70" spans="1:20" ht="33" customHeight="1" x14ac:dyDescent="0.2">
      <c r="A70" s="18" t="s">
        <v>16</v>
      </c>
      <c r="B70" s="31" t="s">
        <v>34</v>
      </c>
      <c r="C70" s="18" t="s">
        <v>24</v>
      </c>
      <c r="D70" s="44" t="s">
        <v>146</v>
      </c>
      <c r="E70" s="54">
        <f>F70+G70+H70+I70+K70+J70+L70+M70</f>
        <v>145.6</v>
      </c>
      <c r="F70" s="23">
        <v>5</v>
      </c>
      <c r="G70" s="24">
        <f>17.9-5</f>
        <v>12.899999999999999</v>
      </c>
      <c r="H70" s="24">
        <v>18.8</v>
      </c>
      <c r="I70" s="55">
        <v>19.8</v>
      </c>
      <c r="J70" s="55">
        <v>20.7</v>
      </c>
      <c r="K70" s="55">
        <f>21.7</f>
        <v>21.7</v>
      </c>
      <c r="L70" s="55">
        <v>22.8</v>
      </c>
      <c r="M70" s="55">
        <v>23.9</v>
      </c>
      <c r="N70" s="42" t="s">
        <v>59</v>
      </c>
      <c r="O70" s="31" t="s">
        <v>35</v>
      </c>
      <c r="P70" s="14"/>
    </row>
    <row r="71" spans="1:20" s="13" customFormat="1" ht="84.75" customHeight="1" x14ac:dyDescent="0.2">
      <c r="A71" s="18" t="s">
        <v>95</v>
      </c>
      <c r="B71" s="31" t="s">
        <v>97</v>
      </c>
      <c r="C71" s="18" t="s">
        <v>24</v>
      </c>
      <c r="D71" s="44" t="s">
        <v>153</v>
      </c>
      <c r="E71" s="54">
        <f>F71+G71+H71+I71+K71+J71+L71+M71</f>
        <v>186.20000000000002</v>
      </c>
      <c r="F71" s="23">
        <v>12</v>
      </c>
      <c r="G71" s="24">
        <v>30</v>
      </c>
      <c r="H71" s="24">
        <v>35</v>
      </c>
      <c r="I71" s="55">
        <v>35</v>
      </c>
      <c r="J71" s="55">
        <v>36.4</v>
      </c>
      <c r="K71" s="55">
        <v>37.799999999999997</v>
      </c>
      <c r="L71" s="55">
        <v>0</v>
      </c>
      <c r="M71" s="55">
        <v>0</v>
      </c>
      <c r="N71" s="42" t="s">
        <v>59</v>
      </c>
      <c r="O71" s="31" t="s">
        <v>96</v>
      </c>
      <c r="P71" s="62"/>
    </row>
    <row r="72" spans="1:20" s="13" customFormat="1" ht="19.5" customHeight="1" x14ac:dyDescent="0.2">
      <c r="A72" s="63"/>
      <c r="B72" s="64" t="s">
        <v>56</v>
      </c>
      <c r="C72" s="65"/>
      <c r="D72" s="66"/>
      <c r="E72" s="67">
        <f>SUM(E68:E71)</f>
        <v>121578.4</v>
      </c>
      <c r="F72" s="54">
        <f t="shared" ref="F72:I72" si="10">SUM(F68:F71)</f>
        <v>11212.4</v>
      </c>
      <c r="G72" s="54">
        <f>SUM(G68:G71)</f>
        <v>12136.1</v>
      </c>
      <c r="H72" s="54">
        <f t="shared" si="10"/>
        <v>13467.999999999998</v>
      </c>
      <c r="I72" s="54">
        <f t="shared" si="10"/>
        <v>22061.8</v>
      </c>
      <c r="J72" s="54">
        <f t="shared" ref="J72" si="11">SUM(J68:J71)</f>
        <v>16964.300000000003</v>
      </c>
      <c r="K72" s="54">
        <f>SUM(K68:K71)</f>
        <v>17625.900000000001</v>
      </c>
      <c r="L72" s="56">
        <f>SUM(L68:L71)</f>
        <v>13712.199999999999</v>
      </c>
      <c r="M72" s="56">
        <f>SUM(M68:M71)</f>
        <v>14397.699999999999</v>
      </c>
      <c r="N72" s="94"/>
      <c r="O72" s="68"/>
      <c r="P72" s="62"/>
    </row>
    <row r="73" spans="1:20" ht="15.75" customHeight="1" x14ac:dyDescent="0.2">
      <c r="A73" s="66"/>
      <c r="B73" s="36" t="s">
        <v>29</v>
      </c>
      <c r="C73" s="66"/>
      <c r="D73" s="66"/>
      <c r="E73" s="54">
        <f>SUM(F73:M73)</f>
        <v>121578.4</v>
      </c>
      <c r="F73" s="54">
        <f t="shared" ref="F73:I73" si="12">F72</f>
        <v>11212.4</v>
      </c>
      <c r="G73" s="54">
        <f t="shared" si="12"/>
        <v>12136.1</v>
      </c>
      <c r="H73" s="54">
        <f t="shared" si="12"/>
        <v>13467.999999999998</v>
      </c>
      <c r="I73" s="54">
        <f t="shared" si="12"/>
        <v>22061.8</v>
      </c>
      <c r="J73" s="54">
        <f t="shared" ref="J73" si="13">J72</f>
        <v>16964.300000000003</v>
      </c>
      <c r="K73" s="54">
        <f>K72</f>
        <v>17625.900000000001</v>
      </c>
      <c r="L73" s="54">
        <f>L72</f>
        <v>13712.199999999999</v>
      </c>
      <c r="M73" s="54">
        <f>M72</f>
        <v>14397.699999999999</v>
      </c>
      <c r="N73" s="94"/>
      <c r="O73" s="69"/>
      <c r="P73" s="14"/>
    </row>
    <row r="74" spans="1:20" ht="16.5" customHeight="1" x14ac:dyDescent="0.2">
      <c r="A74" s="127" t="s">
        <v>112</v>
      </c>
      <c r="B74" s="127"/>
      <c r="C74" s="127"/>
      <c r="D74" s="127"/>
      <c r="E74" s="128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4"/>
      <c r="T74" s="3" t="s">
        <v>49</v>
      </c>
    </row>
    <row r="75" spans="1:20" ht="51" customHeight="1" x14ac:dyDescent="0.2">
      <c r="A75" s="18" t="s">
        <v>17</v>
      </c>
      <c r="B75" s="31" t="s">
        <v>36</v>
      </c>
      <c r="C75" s="18" t="s">
        <v>24</v>
      </c>
      <c r="D75" s="44" t="s">
        <v>103</v>
      </c>
      <c r="E75" s="54">
        <f>F75+G75+H75+I75+K75+J75</f>
        <v>615.1</v>
      </c>
      <c r="F75" s="23">
        <v>335.6</v>
      </c>
      <c r="G75" s="24">
        <f>262.5+50-33</f>
        <v>279.5</v>
      </c>
      <c r="H75" s="24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42" t="s">
        <v>59</v>
      </c>
      <c r="O75" s="31" t="s">
        <v>84</v>
      </c>
      <c r="P75" s="14"/>
    </row>
    <row r="76" spans="1:20" ht="54" customHeight="1" x14ac:dyDescent="0.2">
      <c r="A76" s="18" t="s">
        <v>18</v>
      </c>
      <c r="B76" s="31" t="s">
        <v>37</v>
      </c>
      <c r="C76" s="18" t="s">
        <v>24</v>
      </c>
      <c r="D76" s="44" t="s">
        <v>103</v>
      </c>
      <c r="E76" s="54">
        <f>F76+G76+H76+I76+K76+J76</f>
        <v>2495.5</v>
      </c>
      <c r="F76" s="23">
        <f>2131-3</f>
        <v>2128</v>
      </c>
      <c r="G76" s="24">
        <v>367.5</v>
      </c>
      <c r="H76" s="24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27" t="s">
        <v>59</v>
      </c>
      <c r="O76" s="31" t="s">
        <v>84</v>
      </c>
      <c r="P76" s="14"/>
    </row>
    <row r="77" spans="1:20" s="13" customFormat="1" ht="49.5" customHeight="1" x14ac:dyDescent="0.2">
      <c r="A77" s="18" t="s">
        <v>19</v>
      </c>
      <c r="B77" s="70" t="s">
        <v>42</v>
      </c>
      <c r="C77" s="18" t="s">
        <v>24</v>
      </c>
      <c r="D77" s="44" t="s">
        <v>103</v>
      </c>
      <c r="E77" s="54">
        <f>F77+G77+H77+I77+K77+J77</f>
        <v>2828.4</v>
      </c>
      <c r="F77" s="45">
        <f>840+3</f>
        <v>843</v>
      </c>
      <c r="G77" s="28">
        <f>500+1285.4+200</f>
        <v>1985.4</v>
      </c>
      <c r="H77" s="28">
        <v>0</v>
      </c>
      <c r="I77" s="25">
        <v>0</v>
      </c>
      <c r="J77" s="25">
        <v>0</v>
      </c>
      <c r="K77" s="55">
        <v>0</v>
      </c>
      <c r="L77" s="55">
        <v>0</v>
      </c>
      <c r="M77" s="55">
        <v>0</v>
      </c>
      <c r="N77" s="42" t="s">
        <v>59</v>
      </c>
      <c r="O77" s="31" t="s">
        <v>84</v>
      </c>
      <c r="P77" s="62"/>
    </row>
    <row r="78" spans="1:20" s="13" customFormat="1" ht="49.5" customHeight="1" x14ac:dyDescent="0.2">
      <c r="A78" s="71" t="s">
        <v>141</v>
      </c>
      <c r="B78" s="72" t="s">
        <v>142</v>
      </c>
      <c r="C78" s="18" t="s">
        <v>24</v>
      </c>
      <c r="D78" s="21" t="s">
        <v>148</v>
      </c>
      <c r="E78" s="67">
        <f>SUM(F78:M78)</f>
        <v>12802.499999999998</v>
      </c>
      <c r="F78" s="45">
        <v>0</v>
      </c>
      <c r="G78" s="28">
        <v>0</v>
      </c>
      <c r="H78" s="28">
        <v>1894.9</v>
      </c>
      <c r="I78" s="25">
        <f>1077.1+1622.8-409+402-93.2</f>
        <v>2599.6999999999998</v>
      </c>
      <c r="J78" s="25">
        <f>1120.2+1687.7</f>
        <v>2807.9</v>
      </c>
      <c r="K78" s="55">
        <f>1163.9+1753.5</f>
        <v>2917.4</v>
      </c>
      <c r="L78" s="55">
        <v>1259.8</v>
      </c>
      <c r="M78" s="55">
        <v>1322.8</v>
      </c>
      <c r="N78" s="42" t="s">
        <v>59</v>
      </c>
      <c r="O78" s="31" t="s">
        <v>84</v>
      </c>
      <c r="P78" s="62"/>
    </row>
    <row r="79" spans="1:20" s="13" customFormat="1" ht="12" customHeight="1" x14ac:dyDescent="0.2">
      <c r="A79" s="63"/>
      <c r="B79" s="64" t="s">
        <v>57</v>
      </c>
      <c r="C79" s="65"/>
      <c r="D79" s="73"/>
      <c r="E79" s="67">
        <f t="shared" ref="E79:K79" si="14">SUM(E75:E78)</f>
        <v>18741.5</v>
      </c>
      <c r="F79" s="54">
        <f t="shared" si="14"/>
        <v>3306.6</v>
      </c>
      <c r="G79" s="54">
        <f t="shared" si="14"/>
        <v>2632.4</v>
      </c>
      <c r="H79" s="54">
        <f t="shared" si="14"/>
        <v>1894.9</v>
      </c>
      <c r="I79" s="54">
        <f t="shared" si="14"/>
        <v>2599.6999999999998</v>
      </c>
      <c r="J79" s="54">
        <f t="shared" si="14"/>
        <v>2807.9</v>
      </c>
      <c r="K79" s="54">
        <f t="shared" si="14"/>
        <v>2917.4</v>
      </c>
      <c r="L79" s="56">
        <f>SUM(L75:L78)</f>
        <v>1259.8</v>
      </c>
      <c r="M79" s="56">
        <f>SUM(M75:M78)</f>
        <v>1322.8</v>
      </c>
      <c r="N79" s="93"/>
      <c r="O79" s="68"/>
      <c r="P79" s="62"/>
    </row>
    <row r="80" spans="1:20" ht="15.75" customHeight="1" x14ac:dyDescent="0.2">
      <c r="A80" s="66"/>
      <c r="B80" s="36" t="s">
        <v>29</v>
      </c>
      <c r="C80" s="66"/>
      <c r="D80" s="74"/>
      <c r="E80" s="54">
        <f>SUM(F80:M80)</f>
        <v>18741.499999999996</v>
      </c>
      <c r="F80" s="54">
        <f t="shared" ref="F80:I80" si="15">F79</f>
        <v>3306.6</v>
      </c>
      <c r="G80" s="54">
        <f t="shared" si="15"/>
        <v>2632.4</v>
      </c>
      <c r="H80" s="54">
        <f t="shared" si="15"/>
        <v>1894.9</v>
      </c>
      <c r="I80" s="54">
        <f t="shared" si="15"/>
        <v>2599.6999999999998</v>
      </c>
      <c r="J80" s="54">
        <f t="shared" ref="J80" si="16">J79</f>
        <v>2807.9</v>
      </c>
      <c r="K80" s="54">
        <f>K79</f>
        <v>2917.4</v>
      </c>
      <c r="L80" s="54">
        <f>L79</f>
        <v>1259.8</v>
      </c>
      <c r="M80" s="54">
        <f>M79</f>
        <v>1322.8</v>
      </c>
      <c r="N80" s="93"/>
      <c r="O80" s="69"/>
      <c r="P80" s="14"/>
    </row>
    <row r="81" spans="1:16" ht="16.5" customHeight="1" x14ac:dyDescent="0.2">
      <c r="A81" s="137" t="s">
        <v>113</v>
      </c>
      <c r="B81" s="138"/>
      <c r="C81" s="138"/>
      <c r="D81" s="138"/>
      <c r="E81" s="139"/>
      <c r="F81" s="138"/>
      <c r="G81" s="138"/>
      <c r="H81" s="138"/>
      <c r="I81" s="138"/>
      <c r="J81" s="138"/>
      <c r="K81" s="138"/>
      <c r="L81" s="138"/>
      <c r="M81" s="138"/>
      <c r="N81" s="138"/>
      <c r="O81" s="140"/>
      <c r="P81" s="14"/>
    </row>
    <row r="82" spans="1:16" ht="88.5" customHeight="1" x14ac:dyDescent="0.2">
      <c r="A82" s="18" t="s">
        <v>44</v>
      </c>
      <c r="B82" s="27" t="s">
        <v>85</v>
      </c>
      <c r="C82" s="18" t="s">
        <v>29</v>
      </c>
      <c r="D82" s="44" t="s">
        <v>146</v>
      </c>
      <c r="E82" s="22">
        <f>F82+G82+H82+I82+K82+J82+L82+M82</f>
        <v>59815.8</v>
      </c>
      <c r="F82" s="39">
        <v>5970</v>
      </c>
      <c r="G82" s="40">
        <v>6368.5</v>
      </c>
      <c r="H82" s="40">
        <v>7072.3</v>
      </c>
      <c r="I82" s="41">
        <f>6911+589+600</f>
        <v>8100</v>
      </c>
      <c r="J82" s="41">
        <v>7800</v>
      </c>
      <c r="K82" s="41">
        <v>8104.2</v>
      </c>
      <c r="L82" s="41">
        <v>8000.4</v>
      </c>
      <c r="M82" s="41">
        <v>8400.4</v>
      </c>
      <c r="N82" s="42" t="s">
        <v>59</v>
      </c>
      <c r="O82" s="27" t="s">
        <v>39</v>
      </c>
      <c r="P82" s="14"/>
    </row>
    <row r="83" spans="1:16" ht="89.25" customHeight="1" x14ac:dyDescent="0.2">
      <c r="A83" s="18" t="s">
        <v>60</v>
      </c>
      <c r="B83" s="27" t="s">
        <v>61</v>
      </c>
      <c r="C83" s="18" t="s">
        <v>29</v>
      </c>
      <c r="D83" s="44" t="s">
        <v>146</v>
      </c>
      <c r="E83" s="22">
        <f>F83+G83+H83+I83+K83+J83+L83+M83</f>
        <v>107557.4</v>
      </c>
      <c r="F83" s="39">
        <v>12559.9</v>
      </c>
      <c r="G83" s="40">
        <f>13359.9</f>
        <v>13359.9</v>
      </c>
      <c r="H83" s="40">
        <v>12000</v>
      </c>
      <c r="I83" s="40">
        <v>11000</v>
      </c>
      <c r="J83" s="40">
        <v>11515</v>
      </c>
      <c r="K83" s="40">
        <v>14042.1</v>
      </c>
      <c r="L83" s="40">
        <v>16136.8</v>
      </c>
      <c r="M83" s="40">
        <v>16943.7</v>
      </c>
      <c r="N83" s="27" t="s">
        <v>59</v>
      </c>
      <c r="O83" s="27" t="s">
        <v>39</v>
      </c>
      <c r="P83" s="14"/>
    </row>
    <row r="84" spans="1:16" ht="12.75" customHeight="1" x14ac:dyDescent="0.2">
      <c r="A84" s="66"/>
      <c r="B84" s="69" t="s">
        <v>43</v>
      </c>
      <c r="C84" s="66"/>
      <c r="D84" s="74"/>
      <c r="E84" s="54">
        <f>E83+E82</f>
        <v>167373.20000000001</v>
      </c>
      <c r="F84" s="54">
        <f t="shared" ref="F84:K84" si="17">SUM(F82:F83)</f>
        <v>18529.900000000001</v>
      </c>
      <c r="G84" s="54">
        <f t="shared" si="17"/>
        <v>19728.400000000001</v>
      </c>
      <c r="H84" s="54">
        <f t="shared" si="17"/>
        <v>19072.3</v>
      </c>
      <c r="I84" s="54">
        <f t="shared" si="17"/>
        <v>19100</v>
      </c>
      <c r="J84" s="54">
        <f t="shared" si="17"/>
        <v>19315</v>
      </c>
      <c r="K84" s="54">
        <f t="shared" si="17"/>
        <v>22146.3</v>
      </c>
      <c r="L84" s="54">
        <f>SUM(L82:L83)</f>
        <v>24137.199999999997</v>
      </c>
      <c r="M84" s="54">
        <f>SUM(M82:M83)</f>
        <v>25344.1</v>
      </c>
      <c r="N84" s="92"/>
      <c r="O84" s="69"/>
      <c r="P84" s="14"/>
    </row>
    <row r="85" spans="1:16" ht="15.75" customHeight="1" x14ac:dyDescent="0.2">
      <c r="A85" s="66"/>
      <c r="B85" s="36" t="s">
        <v>29</v>
      </c>
      <c r="C85" s="66"/>
      <c r="D85" s="74"/>
      <c r="E85" s="56">
        <f>SUM(F85:M85)</f>
        <v>167373.20000000001</v>
      </c>
      <c r="F85" s="54">
        <f t="shared" ref="F85:I85" si="18">F84</f>
        <v>18529.900000000001</v>
      </c>
      <c r="G85" s="54">
        <f t="shared" si="18"/>
        <v>19728.400000000001</v>
      </c>
      <c r="H85" s="54">
        <f t="shared" si="18"/>
        <v>19072.3</v>
      </c>
      <c r="I85" s="54">
        <f t="shared" si="18"/>
        <v>19100</v>
      </c>
      <c r="J85" s="54">
        <f t="shared" ref="J85" si="19">J84</f>
        <v>19315</v>
      </c>
      <c r="K85" s="54">
        <f>K84</f>
        <v>22146.3</v>
      </c>
      <c r="L85" s="75">
        <f>L84</f>
        <v>24137.199999999997</v>
      </c>
      <c r="M85" s="75">
        <f>M84</f>
        <v>25344.1</v>
      </c>
      <c r="N85" s="91"/>
      <c r="O85" s="69"/>
      <c r="P85" s="14"/>
    </row>
    <row r="86" spans="1:16" ht="15.75" customHeight="1" x14ac:dyDescent="0.2">
      <c r="A86" s="134" t="s">
        <v>114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6"/>
      <c r="P86" s="14"/>
    </row>
    <row r="87" spans="1:16" ht="33" customHeight="1" x14ac:dyDescent="0.2">
      <c r="A87" s="103" t="s">
        <v>115</v>
      </c>
      <c r="B87" s="105" t="s">
        <v>116</v>
      </c>
      <c r="C87" s="18" t="s">
        <v>29</v>
      </c>
      <c r="D87" s="44" t="s">
        <v>161</v>
      </c>
      <c r="E87" s="56">
        <f>SUM(F87:M87)</f>
        <v>7975.8</v>
      </c>
      <c r="F87" s="24">
        <v>0</v>
      </c>
      <c r="G87" s="24">
        <v>1000</v>
      </c>
      <c r="H87" s="24">
        <f>1000+600</f>
        <v>1600</v>
      </c>
      <c r="I87" s="24">
        <f>2700+409+744</f>
        <v>3853</v>
      </c>
      <c r="J87" s="24">
        <v>1286</v>
      </c>
      <c r="K87" s="24">
        <v>0</v>
      </c>
      <c r="L87" s="24">
        <v>115.5</v>
      </c>
      <c r="M87" s="24">
        <v>121.3</v>
      </c>
      <c r="N87" s="105" t="s">
        <v>59</v>
      </c>
      <c r="O87" s="105" t="s">
        <v>120</v>
      </c>
      <c r="P87" s="14"/>
    </row>
    <row r="88" spans="1:16" ht="21" customHeight="1" x14ac:dyDescent="0.2">
      <c r="A88" s="132"/>
      <c r="B88" s="133"/>
      <c r="C88" s="18" t="s">
        <v>125</v>
      </c>
      <c r="D88" s="44" t="s">
        <v>162</v>
      </c>
      <c r="E88" s="56">
        <f t="shared" ref="E88:E89" si="20">SUM(F88:K88)</f>
        <v>31197.5</v>
      </c>
      <c r="F88" s="24">
        <v>0</v>
      </c>
      <c r="G88" s="24">
        <v>3495</v>
      </c>
      <c r="H88" s="24">
        <v>10560</v>
      </c>
      <c r="I88" s="24">
        <v>12852.5</v>
      </c>
      <c r="J88" s="24">
        <v>4290</v>
      </c>
      <c r="K88" s="24">
        <v>0</v>
      </c>
      <c r="L88" s="24">
        <v>0</v>
      </c>
      <c r="M88" s="24">
        <v>0</v>
      </c>
      <c r="N88" s="133"/>
      <c r="O88" s="133"/>
      <c r="P88" s="14"/>
    </row>
    <row r="89" spans="1:16" ht="18.75" customHeight="1" x14ac:dyDescent="0.2">
      <c r="A89" s="104"/>
      <c r="B89" s="106"/>
      <c r="C89" s="18" t="s">
        <v>91</v>
      </c>
      <c r="D89" s="44" t="s">
        <v>162</v>
      </c>
      <c r="E89" s="56">
        <f t="shared" si="20"/>
        <v>65749.5</v>
      </c>
      <c r="F89" s="24">
        <v>0</v>
      </c>
      <c r="G89" s="24">
        <v>11505</v>
      </c>
      <c r="H89" s="24">
        <v>19440</v>
      </c>
      <c r="I89" s="24">
        <v>26094.5</v>
      </c>
      <c r="J89" s="24">
        <v>8710</v>
      </c>
      <c r="K89" s="24">
        <v>0</v>
      </c>
      <c r="L89" s="24">
        <v>0</v>
      </c>
      <c r="M89" s="24">
        <v>0</v>
      </c>
      <c r="N89" s="106"/>
      <c r="O89" s="106"/>
      <c r="P89" s="14"/>
    </row>
    <row r="90" spans="1:16" ht="46.5" customHeight="1" x14ac:dyDescent="0.2">
      <c r="A90" s="18" t="s">
        <v>121</v>
      </c>
      <c r="B90" s="27" t="s">
        <v>122</v>
      </c>
      <c r="C90" s="18" t="s">
        <v>29</v>
      </c>
      <c r="D90" s="44" t="s">
        <v>158</v>
      </c>
      <c r="E90" s="56">
        <f>SUM(F90:M90)</f>
        <v>150.69999999999999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73.5</v>
      </c>
      <c r="M90" s="24">
        <v>77.2</v>
      </c>
      <c r="N90" s="27" t="s">
        <v>59</v>
      </c>
      <c r="O90" s="27" t="s">
        <v>120</v>
      </c>
      <c r="P90" s="14"/>
    </row>
    <row r="91" spans="1:16" ht="51" customHeight="1" x14ac:dyDescent="0.2">
      <c r="A91" s="18" t="s">
        <v>117</v>
      </c>
      <c r="B91" s="27" t="s">
        <v>118</v>
      </c>
      <c r="C91" s="18" t="s">
        <v>29</v>
      </c>
      <c r="D91" s="44" t="s">
        <v>157</v>
      </c>
      <c r="E91" s="56">
        <f>SUM(F91:M91)</f>
        <v>2777.1</v>
      </c>
      <c r="F91" s="24">
        <v>0</v>
      </c>
      <c r="G91" s="24">
        <f>87.5+100</f>
        <v>187.5</v>
      </c>
      <c r="H91" s="24">
        <v>750</v>
      </c>
      <c r="I91" s="24">
        <f>450+1500-337.1+33</f>
        <v>1645.9</v>
      </c>
      <c r="J91" s="24">
        <v>0</v>
      </c>
      <c r="K91" s="24">
        <v>0</v>
      </c>
      <c r="L91" s="24">
        <v>94.5</v>
      </c>
      <c r="M91" s="24">
        <v>99.2</v>
      </c>
      <c r="N91" s="27" t="s">
        <v>59</v>
      </c>
      <c r="O91" s="27" t="s">
        <v>120</v>
      </c>
      <c r="P91" s="14"/>
    </row>
    <row r="92" spans="1:16" ht="51" customHeight="1" x14ac:dyDescent="0.2">
      <c r="A92" s="18" t="s">
        <v>129</v>
      </c>
      <c r="B92" s="27" t="s">
        <v>130</v>
      </c>
      <c r="C92" s="18" t="s">
        <v>29</v>
      </c>
      <c r="D92" s="44" t="s">
        <v>159</v>
      </c>
      <c r="E92" s="56">
        <f>SUM(F92:M92)</f>
        <v>449.1</v>
      </c>
      <c r="F92" s="24">
        <v>0</v>
      </c>
      <c r="G92" s="24">
        <v>0</v>
      </c>
      <c r="H92" s="24">
        <v>0</v>
      </c>
      <c r="I92" s="24">
        <v>0</v>
      </c>
      <c r="J92" s="24">
        <v>104.2</v>
      </c>
      <c r="K92" s="24">
        <v>109.4</v>
      </c>
      <c r="L92" s="24">
        <v>114.9</v>
      </c>
      <c r="M92" s="24">
        <v>120.6</v>
      </c>
      <c r="N92" s="27" t="s">
        <v>59</v>
      </c>
      <c r="O92" s="27" t="s">
        <v>120</v>
      </c>
      <c r="P92" s="14"/>
    </row>
    <row r="93" spans="1:16" ht="16.5" customHeight="1" x14ac:dyDescent="0.2">
      <c r="A93" s="66"/>
      <c r="B93" s="36" t="s">
        <v>119</v>
      </c>
      <c r="C93" s="66"/>
      <c r="D93" s="74"/>
      <c r="E93" s="54">
        <f t="shared" ref="E93:K93" si="21">SUM(E87:E92)</f>
        <v>108299.70000000001</v>
      </c>
      <c r="F93" s="54">
        <f t="shared" si="21"/>
        <v>0</v>
      </c>
      <c r="G93" s="54">
        <f t="shared" si="21"/>
        <v>16187.5</v>
      </c>
      <c r="H93" s="54">
        <f t="shared" si="21"/>
        <v>32350</v>
      </c>
      <c r="I93" s="54">
        <f t="shared" si="21"/>
        <v>44445.9</v>
      </c>
      <c r="J93" s="54">
        <f t="shared" si="21"/>
        <v>14390.2</v>
      </c>
      <c r="K93" s="54">
        <f t="shared" si="21"/>
        <v>109.4</v>
      </c>
      <c r="L93" s="75">
        <f>SUM(L87:L92)</f>
        <v>398.4</v>
      </c>
      <c r="M93" s="75">
        <f>SUM(M87:M92)</f>
        <v>418.29999999999995</v>
      </c>
      <c r="N93" s="76"/>
      <c r="O93" s="69"/>
      <c r="P93" s="14"/>
    </row>
    <row r="94" spans="1:16" ht="16.5" customHeight="1" x14ac:dyDescent="0.2">
      <c r="A94" s="66"/>
      <c r="B94" s="36" t="s">
        <v>29</v>
      </c>
      <c r="C94" s="66"/>
      <c r="D94" s="74"/>
      <c r="E94" s="54">
        <f>E93-E95-E96</f>
        <v>11352.700000000012</v>
      </c>
      <c r="F94" s="54">
        <f t="shared" ref="F94" si="22">F93</f>
        <v>0</v>
      </c>
      <c r="G94" s="54">
        <f>G93-G95-G96</f>
        <v>1187.5</v>
      </c>
      <c r="H94" s="54">
        <f>H93-H95-H96</f>
        <v>2350</v>
      </c>
      <c r="I94" s="54">
        <f>I93-I95-I96</f>
        <v>5498.9000000000015</v>
      </c>
      <c r="J94" s="54">
        <f>J93-J95-J96</f>
        <v>1390.2000000000007</v>
      </c>
      <c r="K94" s="54">
        <f>SUM(K93)</f>
        <v>109.4</v>
      </c>
      <c r="L94" s="75">
        <f>L93</f>
        <v>398.4</v>
      </c>
      <c r="M94" s="75">
        <f>M93</f>
        <v>418.29999999999995</v>
      </c>
      <c r="N94" s="76"/>
      <c r="O94" s="69"/>
      <c r="P94" s="77"/>
    </row>
    <row r="95" spans="1:16" ht="16.5" customHeight="1" x14ac:dyDescent="0.2">
      <c r="A95" s="66"/>
      <c r="B95" s="36" t="s">
        <v>125</v>
      </c>
      <c r="C95" s="66"/>
      <c r="D95" s="74"/>
      <c r="E95" s="54">
        <f>SUM(F95:K95)</f>
        <v>31197.5</v>
      </c>
      <c r="F95" s="54">
        <f t="shared" ref="F95:M96" si="23">F88</f>
        <v>0</v>
      </c>
      <c r="G95" s="54">
        <f t="shared" si="23"/>
        <v>3495</v>
      </c>
      <c r="H95" s="54">
        <f t="shared" si="23"/>
        <v>10560</v>
      </c>
      <c r="I95" s="54">
        <f t="shared" si="23"/>
        <v>12852.5</v>
      </c>
      <c r="J95" s="54">
        <f t="shared" si="23"/>
        <v>4290</v>
      </c>
      <c r="K95" s="54">
        <f t="shared" si="23"/>
        <v>0</v>
      </c>
      <c r="L95" s="75">
        <v>0</v>
      </c>
      <c r="M95" s="75">
        <v>0</v>
      </c>
      <c r="N95" s="76"/>
      <c r="O95" s="69"/>
      <c r="P95" s="77"/>
    </row>
    <row r="96" spans="1:16" ht="16.5" customHeight="1" x14ac:dyDescent="0.2">
      <c r="A96" s="66"/>
      <c r="B96" s="36" t="s">
        <v>91</v>
      </c>
      <c r="C96" s="66"/>
      <c r="D96" s="74"/>
      <c r="E96" s="54">
        <f>SUM(F96:K96)</f>
        <v>65749.5</v>
      </c>
      <c r="F96" s="54">
        <f t="shared" si="23"/>
        <v>0</v>
      </c>
      <c r="G96" s="54">
        <f t="shared" si="23"/>
        <v>11505</v>
      </c>
      <c r="H96" s="54">
        <f t="shared" si="23"/>
        <v>19440</v>
      </c>
      <c r="I96" s="54">
        <f t="shared" si="23"/>
        <v>26094.5</v>
      </c>
      <c r="J96" s="54">
        <f t="shared" si="23"/>
        <v>8710</v>
      </c>
      <c r="K96" s="54">
        <f t="shared" si="23"/>
        <v>0</v>
      </c>
      <c r="L96" s="54">
        <f t="shared" si="23"/>
        <v>0</v>
      </c>
      <c r="M96" s="54">
        <f t="shared" si="23"/>
        <v>0</v>
      </c>
      <c r="N96" s="76"/>
      <c r="O96" s="69"/>
      <c r="P96" s="77"/>
    </row>
    <row r="97" spans="1:16" ht="20.25" customHeight="1" x14ac:dyDescent="0.2">
      <c r="A97" s="78"/>
      <c r="B97" s="36" t="s">
        <v>58</v>
      </c>
      <c r="C97" s="66"/>
      <c r="D97" s="74"/>
      <c r="E97" s="79">
        <f t="shared" ref="E97:J97" si="24">E93+E84+E79+E72+E65+E57+E49+E36</f>
        <v>1190826.7000000002</v>
      </c>
      <c r="F97" s="79">
        <f t="shared" si="24"/>
        <v>127932.1</v>
      </c>
      <c r="G97" s="79">
        <f t="shared" si="24"/>
        <v>177579.69999999998</v>
      </c>
      <c r="H97" s="79">
        <f t="shared" si="24"/>
        <v>216315.80000000002</v>
      </c>
      <c r="I97" s="79">
        <f t="shared" si="24"/>
        <v>204776.30000000002</v>
      </c>
      <c r="J97" s="79">
        <f t="shared" si="24"/>
        <v>127275.90000000002</v>
      </c>
      <c r="K97" s="79">
        <f>SUM(K93,K84,K79,K72,K65,K57,K49,K36)</f>
        <v>129163.00000000001</v>
      </c>
      <c r="L97" s="52">
        <f>L36+L49+L57+L65+L72+L79+L84+L93</f>
        <v>101358</v>
      </c>
      <c r="M97" s="52">
        <f>M36+M49+M57+M65+M72+M79+M84+M93</f>
        <v>106425.90000000001</v>
      </c>
      <c r="N97" s="80"/>
      <c r="O97" s="81"/>
      <c r="P97" s="77"/>
    </row>
    <row r="98" spans="1:16" ht="21.75" customHeight="1" x14ac:dyDescent="0.2">
      <c r="A98" s="82"/>
      <c r="B98" s="83" t="s">
        <v>29</v>
      </c>
      <c r="C98" s="82"/>
      <c r="D98" s="84"/>
      <c r="E98" s="85">
        <f>SUM(E97-E99-E100-E101)</f>
        <v>1002049.2000000002</v>
      </c>
      <c r="F98" s="86">
        <f>SUM(F97-F100-F101)</f>
        <v>114925.80000000002</v>
      </c>
      <c r="G98" s="85">
        <f>G97-G101-G99-G100</f>
        <v>143691.69999999998</v>
      </c>
      <c r="H98" s="85">
        <f>H97-H101-H99-H100</f>
        <v>157036.70000000001</v>
      </c>
      <c r="I98" s="85">
        <f>I97-I101-I99-I100</f>
        <v>139076.10000000003</v>
      </c>
      <c r="J98" s="85">
        <f>J97-J101-J99</f>
        <v>112090.70000000003</v>
      </c>
      <c r="K98" s="85">
        <f t="shared" ref="K98" si="25">K97-K101</f>
        <v>127444.30000000002</v>
      </c>
      <c r="L98" s="87">
        <f>L97</f>
        <v>101358</v>
      </c>
      <c r="M98" s="87">
        <f>M97</f>
        <v>106425.90000000001</v>
      </c>
      <c r="N98" s="21"/>
      <c r="O98" s="81"/>
      <c r="P98" s="77"/>
    </row>
    <row r="99" spans="1:16" ht="15.75" customHeight="1" x14ac:dyDescent="0.2">
      <c r="A99" s="82"/>
      <c r="B99" s="83" t="s">
        <v>125</v>
      </c>
      <c r="C99" s="82"/>
      <c r="D99" s="84"/>
      <c r="E99" s="85">
        <f>SUM(F99:K99)</f>
        <v>31197.5</v>
      </c>
      <c r="F99" s="86">
        <f t="shared" ref="F99:K99" si="26">F95</f>
        <v>0</v>
      </c>
      <c r="G99" s="85">
        <f t="shared" si="26"/>
        <v>3495</v>
      </c>
      <c r="H99" s="85">
        <f t="shared" si="26"/>
        <v>10560</v>
      </c>
      <c r="I99" s="85">
        <f t="shared" si="26"/>
        <v>12852.5</v>
      </c>
      <c r="J99" s="85">
        <f t="shared" si="26"/>
        <v>4290</v>
      </c>
      <c r="K99" s="85">
        <f t="shared" si="26"/>
        <v>0</v>
      </c>
      <c r="L99" s="87">
        <v>0</v>
      </c>
      <c r="M99" s="87">
        <v>0</v>
      </c>
      <c r="N99" s="21"/>
      <c r="O99" s="81"/>
      <c r="P99" s="77"/>
    </row>
    <row r="100" spans="1:16" ht="24.75" customHeight="1" x14ac:dyDescent="0.2">
      <c r="A100" s="78"/>
      <c r="B100" s="36" t="s">
        <v>94</v>
      </c>
      <c r="C100" s="78"/>
      <c r="D100" s="88"/>
      <c r="E100" s="22">
        <f>SUM(F100:I100)</f>
        <v>48218.5</v>
      </c>
      <c r="F100" s="89">
        <f>F50</f>
        <v>12263.4</v>
      </c>
      <c r="G100" s="22">
        <f>G50</f>
        <v>14955.1</v>
      </c>
      <c r="H100" s="22">
        <v>21000</v>
      </c>
      <c r="I100" s="22">
        <f>I44</f>
        <v>0</v>
      </c>
      <c r="J100" s="22">
        <v>0</v>
      </c>
      <c r="K100" s="22">
        <v>0</v>
      </c>
      <c r="L100" s="90">
        <v>0</v>
      </c>
      <c r="M100" s="90">
        <v>0</v>
      </c>
      <c r="N100" s="41"/>
      <c r="O100" s="81"/>
      <c r="P100" s="77"/>
    </row>
    <row r="101" spans="1:16" ht="24.75" customHeight="1" x14ac:dyDescent="0.2">
      <c r="A101" s="18"/>
      <c r="B101" s="36" t="s">
        <v>91</v>
      </c>
      <c r="C101" s="18"/>
      <c r="D101" s="44"/>
      <c r="E101" s="22">
        <f>SUM(F101:K101)</f>
        <v>109361.49999999999</v>
      </c>
      <c r="F101" s="89">
        <f t="shared" ref="F101:K101" si="27">F96+F51+F38</f>
        <v>742.9</v>
      </c>
      <c r="G101" s="89">
        <f t="shared" si="27"/>
        <v>15437.9</v>
      </c>
      <c r="H101" s="89">
        <f t="shared" si="27"/>
        <v>27719.1</v>
      </c>
      <c r="I101" s="89">
        <f t="shared" si="27"/>
        <v>52847.7</v>
      </c>
      <c r="J101" s="89">
        <f t="shared" si="27"/>
        <v>10895.2</v>
      </c>
      <c r="K101" s="89">
        <f t="shared" si="27"/>
        <v>1718.7</v>
      </c>
      <c r="L101" s="89">
        <v>0</v>
      </c>
      <c r="M101" s="89">
        <v>0</v>
      </c>
      <c r="N101" s="27"/>
      <c r="O101" s="50"/>
      <c r="P101" s="77"/>
    </row>
    <row r="102" spans="1:16" ht="21.75" customHeight="1" x14ac:dyDescent="0.2"/>
    <row r="103" spans="1:16" ht="21.75" customHeight="1" x14ac:dyDescent="0.2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</row>
    <row r="104" spans="1:16" ht="21.75" customHeight="1" x14ac:dyDescent="0.2"/>
    <row r="105" spans="1:16" ht="21.75" customHeight="1" x14ac:dyDescent="0.2"/>
    <row r="106" spans="1:16" ht="21.75" customHeight="1" x14ac:dyDescent="0.2"/>
    <row r="107" spans="1:16" ht="21.75" customHeight="1" x14ac:dyDescent="0.2"/>
    <row r="108" spans="1:16" ht="21.75" customHeight="1" x14ac:dyDescent="0.2"/>
    <row r="109" spans="1:16" ht="21.75" customHeight="1" x14ac:dyDescent="0.2"/>
    <row r="110" spans="1:16" ht="21.75" customHeight="1" x14ac:dyDescent="0.2"/>
    <row r="111" spans="1:16" ht="21.75" customHeight="1" x14ac:dyDescent="0.2"/>
    <row r="112" spans="1:16" ht="37.5" customHeight="1" x14ac:dyDescent="0.2"/>
    <row r="113" spans="1:15" ht="76.5" customHeight="1" x14ac:dyDescent="0.2"/>
    <row r="114" spans="1:15" ht="44.25" customHeight="1" x14ac:dyDescent="0.2"/>
    <row r="115" spans="1:15" s="13" customFormat="1" ht="21.75" customHeight="1" x14ac:dyDescent="0.2">
      <c r="A115" s="3"/>
      <c r="B115" s="3"/>
      <c r="C115" s="3"/>
      <c r="D115" s="3"/>
      <c r="E115" s="3"/>
      <c r="F115" s="3"/>
      <c r="G115" s="3"/>
      <c r="H115" s="12"/>
      <c r="I115" s="12"/>
      <c r="J115" s="12"/>
      <c r="K115" s="12"/>
      <c r="L115" s="12"/>
      <c r="M115" s="12"/>
      <c r="N115" s="3"/>
      <c r="O115" s="3"/>
    </row>
    <row r="116" spans="1:15" ht="25.5" customHeight="1" x14ac:dyDescent="0.2"/>
    <row r="117" spans="1:15" ht="33" customHeight="1" x14ac:dyDescent="0.2"/>
    <row r="118" spans="1:15" ht="42.75" customHeight="1" x14ac:dyDescent="0.2"/>
    <row r="119" spans="1:15" ht="13.5" customHeight="1" x14ac:dyDescent="0.2"/>
    <row r="120" spans="1:15" ht="42.75" customHeight="1" x14ac:dyDescent="0.2"/>
    <row r="121" spans="1:15" ht="20.100000000000001" customHeight="1" x14ac:dyDescent="0.2"/>
  </sheetData>
  <mergeCells count="66">
    <mergeCell ref="B32:B33"/>
    <mergeCell ref="N32:N33"/>
    <mergeCell ref="O32:O33"/>
    <mergeCell ref="A24:A25"/>
    <mergeCell ref="B24:B25"/>
    <mergeCell ref="N30:N31"/>
    <mergeCell ref="O30:O31"/>
    <mergeCell ref="N24:N25"/>
    <mergeCell ref="O24:O25"/>
    <mergeCell ref="A30:A31"/>
    <mergeCell ref="B30:B31"/>
    <mergeCell ref="A103:O103"/>
    <mergeCell ref="A53:O53"/>
    <mergeCell ref="A39:O39"/>
    <mergeCell ref="A87:A89"/>
    <mergeCell ref="B87:B89"/>
    <mergeCell ref="O87:O89"/>
    <mergeCell ref="N87:N89"/>
    <mergeCell ref="A86:O86"/>
    <mergeCell ref="A81:O81"/>
    <mergeCell ref="A59:O59"/>
    <mergeCell ref="N42:N44"/>
    <mergeCell ref="A67:O67"/>
    <mergeCell ref="A74:O74"/>
    <mergeCell ref="O42:O44"/>
    <mergeCell ref="A42:A44"/>
    <mergeCell ref="B42:B44"/>
    <mergeCell ref="A34:A35"/>
    <mergeCell ref="B34:B35"/>
    <mergeCell ref="G1:O1"/>
    <mergeCell ref="G4:O4"/>
    <mergeCell ref="A14:O14"/>
    <mergeCell ref="N15:N16"/>
    <mergeCell ref="E15:E16"/>
    <mergeCell ref="D15:D16"/>
    <mergeCell ref="B15:B16"/>
    <mergeCell ref="G2:O2"/>
    <mergeCell ref="A11:O11"/>
    <mergeCell ref="A12:O12"/>
    <mergeCell ref="A13:O13"/>
    <mergeCell ref="F15:M15"/>
    <mergeCell ref="M5:O8"/>
    <mergeCell ref="A32:A33"/>
    <mergeCell ref="C15:C16"/>
    <mergeCell ref="A15:A16"/>
    <mergeCell ref="B19:B20"/>
    <mergeCell ref="N19:N20"/>
    <mergeCell ref="O19:O20"/>
    <mergeCell ref="A18:O18"/>
    <mergeCell ref="A19:A20"/>
    <mergeCell ref="Q67:T67"/>
    <mergeCell ref="Q28:U28"/>
    <mergeCell ref="Q39:U39"/>
    <mergeCell ref="Q46:U46"/>
    <mergeCell ref="G3:O3"/>
    <mergeCell ref="O15:O16"/>
    <mergeCell ref="O34:O35"/>
    <mergeCell ref="N34:N35"/>
    <mergeCell ref="Q19:T19"/>
    <mergeCell ref="Q21:T21"/>
    <mergeCell ref="Q26:U26"/>
    <mergeCell ref="A22:A23"/>
    <mergeCell ref="D22:D23"/>
    <mergeCell ref="O22:O23"/>
    <mergeCell ref="N22:N23"/>
    <mergeCell ref="B22:B23"/>
  </mergeCells>
  <phoneticPr fontId="0" type="noConversion"/>
  <pageMargins left="0.23622047244094491" right="0" top="0.59055118110236227" bottom="0.35433070866141736" header="0.74803149606299213" footer="0.51181102362204722"/>
  <pageSetup paperSize="9" scale="83" fitToHeight="5" orientation="landscape" r:id="rId1"/>
  <headerFooter alignWithMargins="0"/>
  <rowBreaks count="4" manualBreakCount="4">
    <brk id="29" max="14" man="1"/>
    <brk id="47" max="14" man="1"/>
    <brk id="64" max="14" man="1"/>
    <brk id="8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Oleg Leshchev</cp:lastModifiedBy>
  <cp:lastPrinted>2020-09-29T07:15:24Z</cp:lastPrinted>
  <dcterms:created xsi:type="dcterms:W3CDTF">1996-10-08T23:32:33Z</dcterms:created>
  <dcterms:modified xsi:type="dcterms:W3CDTF">2020-10-01T05:52:13Z</dcterms:modified>
</cp:coreProperties>
</file>